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Rm6R/bqJzMPGoIHGoUOuA+NPp2wyXs2o47THSTznrSP8NaiYpJQOhOaoI/ugPI/9KsqTtZSOyFLPNWcgDX6yDA==" workbookSaltValue="QAnn8t8v51P/RVzJ/j2r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H28" i="2"/>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9" i="12"/>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BM12" i="11"/>
  <c r="BU12" i="17"/>
  <c r="BK20" i="11"/>
  <c r="BK23" i="11" s="1"/>
  <c r="BJ10" i="11"/>
  <c r="Q16" i="17"/>
  <c r="Q23" i="17" s="1"/>
  <c r="Q31" i="17" s="1"/>
  <c r="BK10" i="11"/>
  <c r="L28" i="2"/>
  <c r="BL19" i="11"/>
  <c r="BJ18" i="11"/>
  <c r="BM17" i="11"/>
  <c r="BF21" i="11"/>
  <c r="BF17" i="11"/>
  <c r="BL12" i="11"/>
  <c r="BK21" i="11"/>
  <c r="BI25" i="11"/>
  <c r="V13" i="11"/>
  <c r="BI19" i="11"/>
  <c r="AP22" i="20"/>
  <c r="R25" i="14"/>
  <c r="BL25" i="11"/>
  <c r="Q25" i="11" s="1"/>
  <c r="AZ9" i="11"/>
  <c r="T16" i="16"/>
  <c r="BV19" i="16"/>
  <c r="BW18" i="20"/>
  <c r="BW12" i="20"/>
  <c r="BW33" i="20" s="1"/>
  <c r="BW16" i="20"/>
  <c r="BV10" i="16"/>
  <c r="BV14" i="16" s="1"/>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Q10" i="11" s="1"/>
  <c r="V11" i="16"/>
  <c r="V25" i="11"/>
  <c r="BF10" i="11"/>
  <c r="V11" i="11"/>
  <c r="V9" i="11"/>
  <c r="BJ16" i="11"/>
  <c r="BJ23" i="11" s="1"/>
  <c r="AP16" i="20"/>
  <c r="V20" i="11"/>
  <c r="BG19" i="11"/>
  <c r="BL29" i="11"/>
  <c r="Q29" i="11" s="1"/>
  <c r="BW20" i="20"/>
  <c r="BV18" i="16"/>
  <c r="BV12" i="16"/>
  <c r="BV16" i="16"/>
  <c r="BV23" i="16" s="1"/>
  <c r="BV26" i="16" s="1"/>
  <c r="BV30" i="16" s="1"/>
  <c r="U10" i="17"/>
  <c r="BU18" i="17"/>
  <c r="S25" i="17"/>
  <c r="AZ11" i="11"/>
  <c r="P16" i="17"/>
  <c r="P23" i="17" s="1"/>
  <c r="P31" i="17" s="1"/>
  <c r="BF12" i="11"/>
  <c r="BH25" i="16"/>
  <c r="BF16" i="11"/>
  <c r="BL22" i="11"/>
  <c r="BI22" i="11"/>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BI23" i="11"/>
  <c r="AQ17" i="11"/>
  <c r="P12"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<sst xmlns="http://schemas.openxmlformats.org/spreadsheetml/2006/main" count="2682" uniqueCount="1193">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</sst>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eDHu0ZBYZ2OAmaDEvATbafPhQngngcXScrxiWSa0bsT7Ks2Gl6kJ3Di8THCIFgSCmchNyxvX8sc3UM/1HIK0Q==" saltValue="ec/NymuW67839mlwee9U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12.993749999999999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399</v>
      </c>
      <c r="D17" s="239">
        <f>IF(ISNUMBER(IF(D_I="SI",Datos!I17,Datos!I17+Datos!AC17)),IF(D_I="SI",Datos!I17,Datos!I17+Datos!AC17)," - ")</f>
        <v>399</v>
      </c>
      <c r="E17" s="240">
        <f>IF(ISNUMBER(IF(D_I="SI",Datos!J17,Datos!J17+Datos!AD17)),IF(D_I="SI",Datos!J17,Datos!J17+Datos!AD17)," - ")</f>
        <v>221</v>
      </c>
      <c r="F17" s="240">
        <f>IF(ISNUMBER(IF(D_I="SI",Datos!K17,Datos!K17+Datos!AE17)),IF(D_I="SI",Datos!K17,Datos!K17+Datos!AE17)," - ")</f>
        <v>251</v>
      </c>
      <c r="G17" s="1390" t="str">
        <f>IF(Datos!E17&lt;&gt;"",Datos!E17,Datos!D17)</f>
        <v>04</v>
      </c>
      <c r="H17" s="241">
        <f>IF(ISNUMBER(IF(D_I="SI",Datos!L17,Datos!L17+Datos!AF17)),IF(D_I="SI",Datos!L17,Datos!L17+Datos!AF17)," - ")</f>
        <v>369</v>
      </c>
      <c r="I17" s="1400" t="str">
        <f>IF(ISNUMBER(Datos!AS17/Datos!BM17),Datos!AS17/Datos!BM17," - ")</f>
        <v xml:space="preserve"> - </v>
      </c>
      <c r="J17" s="1401">
        <f>IF(ISNUMBER(Datos!BY17/Datos!CN17),Datos!BY17/Datos!CN17," - ")</f>
        <v>0</v>
      </c>
      <c r="K17" s="244">
        <f t="shared" si="3"/>
        <v>-7.5187969924812026E-2</v>
      </c>
      <c r="L17" s="1402">
        <f>IF(ISNUMBER(NºAsuntos!I17/NºAsuntos!G17),(NºAsuntos!I17/NºAsuntos!G17)*11," - ")</f>
        <v>16.171314741035857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21</v>
      </c>
      <c r="F18" s="240">
        <f>IF(ISNUMBER(IF(D_I="SI",Datos!K18,Datos!K18+Datos!AE18)),IF(D_I="SI",Datos!K18,Datos!K18+Datos!AE18)," - ")</f>
        <v>17</v>
      </c>
      <c r="G18" s="1390" t="str">
        <f>IF(Datos!E18&lt;&gt;"",Datos!E18,Datos!D18)</f>
        <v>37</v>
      </c>
      <c r="H18" s="241">
        <f>IF(ISNUMBER(IF(D_I="SI",Datos!L18,Datos!L18+Datos!AF18)),IF(D_I="SI",Datos!L18,Datos!L18+Datos!AF18)," - ")</f>
        <v>56</v>
      </c>
      <c r="I18" s="1400" t="str">
        <f>IF(ISNUMBER(Datos!AS18/Datos!BM18),Datos!AS18/Datos!BM18," - ")</f>
        <v xml:space="preserve"> - </v>
      </c>
      <c r="J18" s="1401" t="str">
        <f>IF(ISNUMBER((Datos!BY18+Datos!BZ18)/Datos!CN18),(Datos!BY18+Datos!BZ18)/Datos!CN18," - ")</f>
        <v xml:space="preserve"> - </v>
      </c>
      <c r="K18" s="244">
        <f t="shared" si="3"/>
        <v>7.6923076923076927E-2</v>
      </c>
      <c r="L18" s="1402">
        <f>IF(ISNUMBER(NºAsuntos!I18/NºAsuntos!G18),(NºAsuntos!I18/NºAsuntos!G18)*11," - ")</f>
        <v>36.235294117647058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451</v>
      </c>
      <c r="D23" s="1407">
        <f>SUBTOTAL(9,D16:D22)</f>
        <v>451</v>
      </c>
      <c r="E23" s="1408">
        <f>SUBTOTAL(9,E16:E22)</f>
        <v>242</v>
      </c>
      <c r="F23" s="1408">
        <f>SUBTOTAL(9,F16:F22)</f>
        <v>268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460</v>
      </c>
      <c r="D31" s="1435">
        <f>SUBTOTAL(9,D9:D30)</f>
        <v>460</v>
      </c>
      <c r="E31" s="1436">
        <f>SUBTOTAL(9,E9:E30)</f>
        <v>243</v>
      </c>
      <c r="F31" s="1436">
        <f>SUBTOTAL(9,F9:F30)</f>
        <v>271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6zcbx7qB0XJJn+u/tS3g0Nzt5GNbmb6Hk4NVHWFpm8w78jMJk4CHLzOmg1jQeBU4OIWjVoxHkhZyq3XnJcGRA==" saltValue="nGHNoMvkQW35x3QKd7QE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8swoknSpTtMmTdndZgiwNv/S2NbTmO7527AktxOf4tkfeRhL4RffFUN6cHKZSq0nJdFc+Evw28rHQh0uEpyKg==" saltValue="vZzQR76bEHUaO/hxJRNp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3</v>
      </c>
      <c r="L10" s="194">
        <v>7</v>
      </c>
      <c r="M10" s="194">
        <v>2</v>
      </c>
      <c r="N10" s="194">
        <v>1</v>
      </c>
      <c r="O10" s="194">
        <v>0</v>
      </c>
      <c r="P10" s="194">
        <v>0</v>
      </c>
      <c r="Q10" s="194">
        <v>0</v>
      </c>
      <c r="R10" s="194">
        <v>0</v>
      </c>
      <c r="S10" s="194">
        <v>2</v>
      </c>
      <c r="T10" s="194">
        <v>5</v>
      </c>
      <c r="U10" s="194">
        <v>1</v>
      </c>
      <c r="V10" s="194">
        <v>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5</v>
      </c>
      <c r="BA10" s="139">
        <f t="shared" si="0"/>
        <v>1</v>
      </c>
      <c r="BB10" s="139">
        <f t="shared" si="0"/>
        <v>6</v>
      </c>
      <c r="BC10" s="135">
        <f t="shared" si="0"/>
        <v>1</v>
      </c>
      <c r="BD10" s="136">
        <f>IF(ISNUMBER(BA10/AZ10),BA10/AZ10," - ")</f>
        <v>0.2</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432</v>
      </c>
      <c r="J12" s="196">
        <v>234</v>
      </c>
      <c r="K12" s="196">
        <v>302</v>
      </c>
      <c r="L12" s="196">
        <v>364</v>
      </c>
      <c r="M12" s="196">
        <v>93</v>
      </c>
      <c r="N12" s="196">
        <v>121</v>
      </c>
      <c r="O12" s="194">
        <v>97</v>
      </c>
      <c r="P12" s="196">
        <v>65</v>
      </c>
      <c r="Q12" s="196">
        <v>59</v>
      </c>
      <c r="R12" s="196">
        <v>1084</v>
      </c>
      <c r="S12" s="196">
        <v>452</v>
      </c>
      <c r="T12" s="196">
        <v>264</v>
      </c>
      <c r="U12" s="196">
        <v>300</v>
      </c>
      <c r="V12" s="196">
        <v>416</v>
      </c>
      <c r="W12" s="196">
        <v>84</v>
      </c>
      <c r="X12" s="202">
        <v>112</v>
      </c>
      <c r="Y12" s="204">
        <v>11</v>
      </c>
      <c r="Z12" s="194">
        <v>21</v>
      </c>
      <c r="AA12" s="194">
        <v>18</v>
      </c>
      <c r="AB12" s="194">
        <v>14</v>
      </c>
      <c r="AC12" s="196">
        <v>0</v>
      </c>
      <c r="AD12" s="196">
        <v>0</v>
      </c>
      <c r="AE12" s="196">
        <v>0</v>
      </c>
      <c r="AF12" s="202">
        <v>0</v>
      </c>
      <c r="AG12" s="215">
        <v>19</v>
      </c>
      <c r="AH12" s="196">
        <v>13</v>
      </c>
      <c r="AI12" s="196">
        <v>22</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471</v>
      </c>
      <c r="AZ12" s="137">
        <f t="shared" si="1"/>
        <v>277</v>
      </c>
      <c r="BA12" s="137">
        <f t="shared" si="1"/>
        <v>322</v>
      </c>
      <c r="BB12" s="137">
        <f t="shared" si="1"/>
        <v>426</v>
      </c>
      <c r="BC12" s="135">
        <f>IF(ISNUMBER(X12),X12," - ")</f>
        <v>112</v>
      </c>
      <c r="BD12" s="136">
        <f t="shared" si="2"/>
        <v>1.1624548736462095</v>
      </c>
      <c r="BE12" s="137">
        <f t="shared" si="3"/>
        <v>1.3229813664596273</v>
      </c>
      <c r="BF12" s="137">
        <f t="shared" si="4"/>
        <v>0.34782608695652173</v>
      </c>
      <c r="BG12" s="209">
        <f t="shared" si="5"/>
        <v>2.3229813664596275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441</v>
      </c>
      <c r="J14" s="197">
        <f t="shared" si="7"/>
        <v>235</v>
      </c>
      <c r="K14" s="197">
        <f t="shared" si="7"/>
        <v>305</v>
      </c>
      <c r="L14" s="197">
        <f t="shared" si="7"/>
        <v>371</v>
      </c>
      <c r="M14" s="197">
        <f t="shared" si="7"/>
        <v>95</v>
      </c>
      <c r="N14" s="197">
        <f t="shared" si="7"/>
        <v>122</v>
      </c>
      <c r="O14" s="197">
        <f t="shared" si="7"/>
        <v>97</v>
      </c>
      <c r="P14" s="197">
        <f t="shared" si="7"/>
        <v>65</v>
      </c>
      <c r="Q14" s="197">
        <f t="shared" si="7"/>
        <v>59</v>
      </c>
      <c r="R14" s="197">
        <f t="shared" si="7"/>
        <v>1084</v>
      </c>
      <c r="S14" s="197">
        <f t="shared" si="7"/>
        <v>454</v>
      </c>
      <c r="T14" s="197">
        <f t="shared" si="7"/>
        <v>269</v>
      </c>
      <c r="U14" s="197">
        <f t="shared" si="7"/>
        <v>301</v>
      </c>
      <c r="V14" s="197">
        <f t="shared" si="7"/>
        <v>422</v>
      </c>
      <c r="W14" s="197">
        <f t="shared" si="7"/>
        <v>85</v>
      </c>
      <c r="X14" s="197">
        <f t="shared" si="7"/>
        <v>112</v>
      </c>
      <c r="Y14" s="197">
        <f t="shared" si="7"/>
        <v>11</v>
      </c>
      <c r="Z14" s="197">
        <f t="shared" si="7"/>
        <v>21</v>
      </c>
      <c r="AA14" s="197">
        <f t="shared" si="7"/>
        <v>18</v>
      </c>
      <c r="AB14" s="197">
        <f t="shared" si="7"/>
        <v>14</v>
      </c>
      <c r="AC14" s="197">
        <f t="shared" si="7"/>
        <v>0</v>
      </c>
      <c r="AD14" s="197">
        <f t="shared" si="7"/>
        <v>0</v>
      </c>
      <c r="AE14" s="197">
        <f t="shared" si="7"/>
        <v>0</v>
      </c>
      <c r="AF14" s="197">
        <f>SUBTOTAL(9,AF9:AF13)</f>
        <v>0</v>
      </c>
      <c r="AG14" s="197">
        <f t="shared" ref="AG14:AT14" si="8">SUBTOTAL(9,AG8:AG13)</f>
        <v>19</v>
      </c>
      <c r="AH14" s="197">
        <f t="shared" si="8"/>
        <v>13</v>
      </c>
      <c r="AI14" s="197">
        <f t="shared" si="8"/>
        <v>22</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473</v>
      </c>
      <c r="AZ14" s="197">
        <f>SUBTOTAL(9,AZ8:AZ13)</f>
        <v>282</v>
      </c>
      <c r="BA14" s="197">
        <f>SUBTOTAL(9,BA8:BA13)</f>
        <v>323</v>
      </c>
      <c r="BB14" s="197">
        <f>SUBTOTAL(9,BB8:BB13)</f>
        <v>432</v>
      </c>
      <c r="BC14" s="197">
        <f>SUBTOTAL(9,BC8:BC13)</f>
        <v>113</v>
      </c>
      <c r="BD14" s="219">
        <f>IF(ISNUMBER(BA14/AZ14),BA14/AZ14," - ")</f>
        <v>1.1453900709219857</v>
      </c>
      <c r="BE14" s="220">
        <f>IF(ISNUMBER(BB14/BA14),BB14/BA14, " - ")</f>
        <v>1.3374613003095974</v>
      </c>
      <c r="BF14" s="220">
        <f>IF(ISNUMBER(BC14/BA14),BC14/BA14, " - ")</f>
        <v>0.34984520123839008</v>
      </c>
      <c r="BG14" s="221">
        <f>IF(ISNUMBER((AY14+AZ14)/BA14),(AY14+AZ14)/BA14," - ")</f>
        <v>2.3374613003095974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399</v>
      </c>
      <c r="J17" s="196">
        <v>221</v>
      </c>
      <c r="K17" s="196">
        <v>251</v>
      </c>
      <c r="L17" s="196">
        <v>369</v>
      </c>
      <c r="M17" s="196">
        <v>45</v>
      </c>
      <c r="N17" s="196">
        <v>157</v>
      </c>
      <c r="O17" s="194">
        <v>0</v>
      </c>
      <c r="P17" s="196">
        <v>4</v>
      </c>
      <c r="Q17" s="196">
        <v>13</v>
      </c>
      <c r="R17" s="196">
        <v>39</v>
      </c>
      <c r="S17" s="196">
        <v>447</v>
      </c>
      <c r="T17" s="196">
        <v>318</v>
      </c>
      <c r="U17" s="196">
        <v>303</v>
      </c>
      <c r="V17" s="196">
        <v>462</v>
      </c>
      <c r="W17" s="196">
        <v>35</v>
      </c>
      <c r="X17" s="202">
        <v>220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447</v>
      </c>
      <c r="AZ17" s="137">
        <f t="shared" si="10"/>
        <v>318</v>
      </c>
      <c r="BA17" s="137">
        <f t="shared" si="10"/>
        <v>303</v>
      </c>
      <c r="BB17" s="137">
        <f t="shared" si="10"/>
        <v>462</v>
      </c>
      <c r="BC17" s="135">
        <f>IF(ISNUMBER(W17),W17," - ")</f>
        <v>35</v>
      </c>
      <c r="BD17" s="136">
        <f t="shared" ref="BD17:BD22" si="12">IF(ISNUMBER(BA17/AZ17),BA17/AZ17," - ")</f>
        <v>0.95283018867924529</v>
      </c>
      <c r="BE17" s="137">
        <f t="shared" ref="BE17:BE22" si="13">IF(ISNUMBER(BB17/BA17),BB17/BA17, " - ")</f>
        <v>1.5247524752475248</v>
      </c>
      <c r="BF17" s="137">
        <f t="shared" ref="BF17:BF22" si="14">IF(ISNUMBER(BC17/BA17),BC17/BA17, " - ")</f>
        <v>0.11551155115511551</v>
      </c>
      <c r="BG17" s="209">
        <f t="shared" si="11"/>
        <v>2.5247524752475248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21</v>
      </c>
      <c r="K18" s="196">
        <v>17</v>
      </c>
      <c r="L18" s="196">
        <v>56</v>
      </c>
      <c r="M18" s="196">
        <v>0</v>
      </c>
      <c r="N18" s="196">
        <v>18</v>
      </c>
      <c r="O18" s="196">
        <v>0</v>
      </c>
      <c r="P18" s="196">
        <v>0</v>
      </c>
      <c r="Q18" s="196">
        <v>0</v>
      </c>
      <c r="R18" s="196">
        <v>0</v>
      </c>
      <c r="S18" s="196">
        <v>43</v>
      </c>
      <c r="T18" s="196">
        <v>23</v>
      </c>
      <c r="U18" s="196">
        <v>15</v>
      </c>
      <c r="V18" s="196">
        <v>51</v>
      </c>
      <c r="W18" s="196">
        <v>0</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23</v>
      </c>
      <c r="BA18" s="139">
        <f t="shared" si="15"/>
        <v>15</v>
      </c>
      <c r="BB18" s="139">
        <f t="shared" si="15"/>
        <v>51</v>
      </c>
      <c r="BC18" s="135">
        <f>IF(ISNUMBER(W18),W18," - ")</f>
        <v>0</v>
      </c>
      <c r="BD18" s="136">
        <f>IF(ISNUMBER(BA18/AZ18),BA18/AZ18," - ")</f>
        <v>0.65217391304347827</v>
      </c>
      <c r="BE18" s="137">
        <f>IF(ISNUMBER(BB18/BA18),BB18/BA18, " - ")</f>
        <v>3.4</v>
      </c>
      <c r="BF18" s="137">
        <f>IF(ISNUMBER(BC18/BA18),BC18/BA18, " - ")</f>
        <v>0</v>
      </c>
      <c r="BG18" s="209">
        <f>IF(ISNUMBER((AY18+AZ18)/BA18),(AY18+AZ18)/BA18," - ")</f>
        <v>4.4000000000000004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451</v>
      </c>
      <c r="J23" s="197">
        <f t="shared" si="21"/>
        <v>242</v>
      </c>
      <c r="K23" s="197">
        <f t="shared" si="21"/>
        <v>268</v>
      </c>
      <c r="L23" s="197">
        <f t="shared" si="21"/>
        <v>425</v>
      </c>
      <c r="M23" s="197">
        <f t="shared" si="21"/>
        <v>45</v>
      </c>
      <c r="N23" s="197">
        <f t="shared" si="21"/>
        <v>175</v>
      </c>
      <c r="O23" s="197">
        <f t="shared" si="21"/>
        <v>0</v>
      </c>
      <c r="P23" s="197">
        <f t="shared" si="21"/>
        <v>4</v>
      </c>
      <c r="Q23" s="197">
        <f t="shared" si="21"/>
        <v>13</v>
      </c>
      <c r="R23" s="197">
        <f t="shared" si="21"/>
        <v>39</v>
      </c>
      <c r="S23" s="197">
        <f t="shared" si="21"/>
        <v>490</v>
      </c>
      <c r="T23" s="197">
        <f t="shared" si="21"/>
        <v>341</v>
      </c>
      <c r="U23" s="197">
        <f t="shared" si="21"/>
        <v>318</v>
      </c>
      <c r="V23" s="197">
        <f t="shared" si="21"/>
        <v>513</v>
      </c>
      <c r="W23" s="197">
        <f t="shared" si="21"/>
        <v>35</v>
      </c>
      <c r="X23" s="197">
        <f t="shared" si="21"/>
        <v>234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490</v>
      </c>
      <c r="AZ23" s="197">
        <f>SUBTOTAL(9,AZ15:AZ22)</f>
        <v>341</v>
      </c>
      <c r="BA23" s="197">
        <f>SUBTOTAL(9,BA15:BA22)</f>
        <v>318</v>
      </c>
      <c r="BB23" s="197">
        <f>SUBTOTAL(9,BB15:BB22)</f>
        <v>513</v>
      </c>
      <c r="BC23" s="197">
        <f>SUBTOTAL(9,BC15:BC22)</f>
        <v>35</v>
      </c>
      <c r="BD23" s="219">
        <f>IF(ISNUMBER(BA23/AZ23),BA23/AZ23," - ")</f>
        <v>0.93255131964809379</v>
      </c>
      <c r="BE23" s="220">
        <f>IF(ISNUMBER(BB23/BA23),BB23/BA23, " - ")</f>
        <v>1.6132075471698113</v>
      </c>
      <c r="BF23" s="220">
        <f>IF(ISNUMBER(BC23/BA23),BC23/BA23, " - ")</f>
        <v>0.11006289308176101</v>
      </c>
      <c r="BG23" s="221">
        <f>IF(ISNUMBER((AY23+AZ23)/BA23),(AY23+AZ23)/BA23," - ")</f>
        <v>2.6132075471698113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892</v>
      </c>
      <c r="J31" s="144">
        <f t="shared" si="36"/>
        <v>477</v>
      </c>
      <c r="K31" s="144">
        <f t="shared" si="36"/>
        <v>573</v>
      </c>
      <c r="L31" s="144">
        <f t="shared" si="36"/>
        <v>796</v>
      </c>
      <c r="M31" s="144">
        <f t="shared" si="36"/>
        <v>140</v>
      </c>
      <c r="N31" s="144">
        <f t="shared" si="36"/>
        <v>297</v>
      </c>
      <c r="O31" s="144">
        <f t="shared" si="36"/>
        <v>97</v>
      </c>
      <c r="P31" s="144">
        <f t="shared" si="36"/>
        <v>69</v>
      </c>
      <c r="Q31" s="144">
        <f t="shared" si="36"/>
        <v>72</v>
      </c>
      <c r="R31" s="144">
        <f t="shared" si="36"/>
        <v>1123</v>
      </c>
      <c r="S31" s="144">
        <f t="shared" si="36"/>
        <v>944</v>
      </c>
      <c r="T31" s="144">
        <f t="shared" si="36"/>
        <v>610</v>
      </c>
      <c r="U31" s="144">
        <f t="shared" si="36"/>
        <v>619</v>
      </c>
      <c r="V31" s="144">
        <f t="shared" si="36"/>
        <v>935</v>
      </c>
      <c r="W31" s="144">
        <f t="shared" si="36"/>
        <v>120</v>
      </c>
      <c r="X31" s="144">
        <f t="shared" si="36"/>
        <v>346</v>
      </c>
      <c r="Y31" s="144">
        <f t="shared" si="36"/>
        <v>11</v>
      </c>
      <c r="Z31" s="144">
        <f t="shared" si="36"/>
        <v>21</v>
      </c>
      <c r="AA31" s="144">
        <f t="shared" si="36"/>
        <v>18</v>
      </c>
      <c r="AB31" s="144">
        <f t="shared" si="36"/>
        <v>14</v>
      </c>
      <c r="AC31" s="144">
        <f t="shared" si="36"/>
        <v>0</v>
      </c>
      <c r="AD31" s="144">
        <f t="shared" si="36"/>
        <v>0</v>
      </c>
      <c r="AE31" s="144">
        <f t="shared" si="36"/>
        <v>0</v>
      </c>
      <c r="AF31" s="144">
        <f t="shared" si="36"/>
        <v>0</v>
      </c>
      <c r="AG31" s="144">
        <f t="shared" si="36"/>
        <v>19</v>
      </c>
      <c r="AH31" s="144">
        <f t="shared" si="36"/>
        <v>13</v>
      </c>
      <c r="AI31" s="144">
        <f t="shared" si="36"/>
        <v>22</v>
      </c>
      <c r="AJ31" s="144">
        <f t="shared" si="36"/>
        <v>10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963</v>
      </c>
      <c r="AZ31" s="144">
        <f>SUBTOTAL(9,AZ9:AZ30)</f>
        <v>623</v>
      </c>
      <c r="BA31" s="144">
        <f>SUBTOTAL(9,BA9:BA30)</f>
        <v>641</v>
      </c>
      <c r="BB31" s="144">
        <f>SUBTOTAL(9,BB9:BB30)</f>
        <v>945</v>
      </c>
      <c r="BC31" s="145">
        <f>SUBTOTAL(9,BC9:BC30)</f>
        <v>148</v>
      </c>
      <c r="BD31" s="227">
        <f>IF(ISNUMBER(BA31/AZ31),BA31/AZ31," - ")</f>
        <v>1.028892455858748</v>
      </c>
      <c r="BE31" s="224">
        <f>IF(ISNUMBER(BB31/BA31),BB31/BA31, " - ")</f>
        <v>1.4742589703588143</v>
      </c>
      <c r="BF31" s="224">
        <f>IF(ISNUMBER(BC31/BA31),BC31/BA31, " - ")</f>
        <v>0.23088923556942278</v>
      </c>
      <c r="BG31" s="145">
        <f>IF(ISNUMBER((AY31+AZ31)/BA31),(AY31+AZ31)/BA31," - ")</f>
        <v>2.4742589703588145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H6wwbF0/aQIAhTk4w42PEnPu6pFYNNtmrW5jfNVYe3DLsbrjWW4qSsGCOvqp0bYf/RRt/CVJAGdolsZcYGag==" saltValue="PMJi0J755PrFNCHMa0RV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8MyeB6tSMtlqyEahaVGHjV5ItlIxmmWdSnnsi+Eb6XX+fwe5hnHlsvoz+mwvzVVD5HyxX13cUwhrop5oyhfGA==" saltValue="HgfPPPovi2tcXX63xMcU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ARENAS DE SAN PEDRO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1084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121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1.2549019607843137</v>
      </c>
      <c r="BH12" s="764">
        <f>IF(ISNUMBER(((IF(J_V="SI",Datos!L12/Datos!K12,(Datos!L12+Datos!AB12)/(Datos!K12+Datos!AA12)))*11)/factor_trimestre),((IF(J_V="SI",Datos!L12/Datos!K12,(Datos!L12+Datos!AB12)/(Datos!K12+Datos!AA12)))*11)/factor_trimestre," - ")</f>
        <v>3.5437499999999997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5.5658627087198514E-3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59</v>
      </c>
      <c r="AD14" s="1198">
        <f t="shared" si="2"/>
        <v>0</v>
      </c>
      <c r="AE14" s="1198">
        <f t="shared" si="2"/>
        <v>0</v>
      </c>
      <c r="AF14" s="1198">
        <f t="shared" si="2"/>
        <v>7</v>
      </c>
      <c r="AG14" s="1198">
        <f t="shared" si="2"/>
        <v>0</v>
      </c>
      <c r="AH14" s="1198">
        <f t="shared" si="2"/>
        <v>14</v>
      </c>
      <c r="AI14" s="1198">
        <f t="shared" si="2"/>
        <v>0</v>
      </c>
      <c r="AJ14" s="1198">
        <f t="shared" si="2"/>
        <v>0</v>
      </c>
      <c r="AK14" s="1198">
        <f t="shared" si="2"/>
        <v>0</v>
      </c>
      <c r="AL14" s="1198">
        <f t="shared" si="2"/>
        <v>0</v>
      </c>
      <c r="AM14" s="1198">
        <f t="shared" si="2"/>
        <v>1084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v>
      </c>
      <c r="BD14" s="1198">
        <f t="shared" si="2"/>
        <v>122</v>
      </c>
      <c r="BE14" s="1198">
        <f t="shared" si="2"/>
        <v>0</v>
      </c>
      <c r="BF14" s="1198">
        <f t="shared" si="2"/>
        <v>0</v>
      </c>
      <c r="BG14" s="1198">
        <f>IF(ISNUMBER(Datos!K14/Datos!J14),Datos!K14/Datos!J14," - ")</f>
        <v>1.2978723404255319</v>
      </c>
      <c r="BH14" s="1202">
        <f>IF(ISNUMBER(((Datos!L14/Datos!K14)*11)/factor_trimestre),((Datos!L14/Datos!K14)*11)/factor_trimestre," - ")</f>
        <v>3.6491803278688524</v>
      </c>
      <c r="BI14" s="1198">
        <f>IF(ISNUMBER('Resol  Asuntos'!D14/NºAsuntos!G14),'Resol  Asuntos'!D14/NºAsuntos!G14," - ")</f>
        <v>0.29411764705882354</v>
      </c>
      <c r="BJ14" s="1198" t="str">
        <f>IF(ISNUMBER(Datos!CI14/Datos!CJ14),Datos!CI14/Datos!CJ14," - ")</f>
        <v xml:space="preserve"> - </v>
      </c>
      <c r="BK14" s="1198">
        <f>SUBTOTAL(9,BK8:BK13)</f>
        <v>0</v>
      </c>
      <c r="BL14" s="1198">
        <f>IF(ISNUMBER((I14-AB14+L14)/(F14)),(I14-AB14+L14)/(F14)," - ")</f>
        <v>-0.33333333333333331</v>
      </c>
      <c r="BM14" s="1203">
        <f>SUBTOTAL(9,BM9:BM13)</f>
        <v>5.5658627087198514E-3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399</v>
      </c>
      <c r="G17" s="743">
        <f>IF(ISNUMBER(IF(D_I="SI",Datos!I17,Datos!I17+Datos!AC17)),IF(D_I="SI",Datos!I17,Datos!I17+Datos!AC17)," - ")</f>
        <v>399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251</v>
      </c>
      <c r="AC17" s="240">
        <f>IF(ISNUMBER(Datos!Q17),Datos!Q17," - ")</f>
        <v>13</v>
      </c>
      <c r="AD17" s="374"/>
      <c r="AE17" s="562"/>
      <c r="AF17" s="741">
        <f>IF(ISNUMBER(IF(D_I="SI",Datos!L17,Datos!L17+Datos!AF17)),IF(D_I="SI",Datos!L17,Datos!L17+Datos!AF17)," - ")</f>
        <v>369</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1.1357466063348416</v>
      </c>
      <c r="BH17" s="764">
        <f>IF(ISNUMBER(((IF(D_I="SI",Datos!L17/Datos!K17,(Datos!L17+Datos!AF17)/(Datos!K17+Datos!AE17)))*11)/factor_trimestre),((IF(D_I="SI",Datos!L17/Datos!K17,(Datos!L17+Datos!AF17)/(Datos!K17+Datos!AE17)))*11)/factor_trimestre," - ")</f>
        <v>4.4103585657370523</v>
      </c>
      <c r="BI17" s="266">
        <f>IF(ISNUMBER('Resol  Asuntos'!D17/NºAsuntos!G17),'Resol  Asuntos'!D17/NºAsuntos!G17," - ")</f>
        <v>0.17928286852589642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56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0.80952380952380953</v>
      </c>
      <c r="BH18" s="764">
        <f>IF(ISNUMBER(((IF(D_I="SI",Datos!L18/Datos!K18,(Datos!L18+Datos!AF18)/(Datos!K18+Datos!AE18)))*11)/factor_trimestre),((IF(D_I="SI",Datos!L18/Datos!K18,(Datos!L18+Datos!AF18)/(Datos!K18+Datos!AE18)))*11)/factor_trimestre," - ")</f>
        <v>9.882352941176471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399</v>
      </c>
      <c r="G23" s="1197">
        <f>SUBTOTAL(9,G16:G22)</f>
        <v>451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268</v>
      </c>
      <c r="AC23" s="1198">
        <f t="shared" si="5"/>
        <v>13</v>
      </c>
      <c r="AD23" s="1198">
        <f t="shared" si="5"/>
        <v>0</v>
      </c>
      <c r="AE23" s="1198">
        <f t="shared" si="5"/>
        <v>0</v>
      </c>
      <c r="AF23" s="1198">
        <f t="shared" si="5"/>
        <v>425</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175</v>
      </c>
      <c r="BE23" s="1198">
        <f t="shared" si="5"/>
        <v>0</v>
      </c>
      <c r="BF23" s="1198">
        <f t="shared" si="5"/>
        <v>0</v>
      </c>
      <c r="BG23" s="1198">
        <f>IF(ISNUMBER(Datos!K23/Datos!J23),Datos!K23/Datos!J23," - ")</f>
        <v>1.1074380165289257</v>
      </c>
      <c r="BH23" s="1202">
        <f>IF(ISNUMBER(((Datos!L23/Datos!K23)*11)/factor_trimestre),((Datos!L23/Datos!K23)*11)/factor_trimestre," - ")</f>
        <v>4.7574626865671643</v>
      </c>
      <c r="BI23" s="1198">
        <f>SUBTOTAL(9,BI16:BI22)</f>
        <v>0.17928286852589642</v>
      </c>
      <c r="BJ23" s="1198">
        <f>SUBTOTAL(9,BJ16:BJ22)</f>
        <v>0</v>
      </c>
      <c r="BK23" s="1198">
        <f>SUBTOTAL(9,BK16:BK22)</f>
        <v>0</v>
      </c>
      <c r="BL23" s="1198">
        <f>IF(ISNUMBER((I23-AB23+L23)/(F23)),(I23-AB23+L23)/(F23)," - ")</f>
        <v>-0.67167919799498743</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408</v>
      </c>
      <c r="G31" s="1117">
        <f t="shared" si="18"/>
        <v>460</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271</v>
      </c>
      <c r="AC31" s="1118">
        <f t="shared" si="19"/>
        <v>72</v>
      </c>
      <c r="AD31" s="1118">
        <f t="shared" si="19"/>
        <v>0</v>
      </c>
      <c r="AE31" s="1118">
        <f t="shared" si="19"/>
        <v>0</v>
      </c>
      <c r="AF31" s="1125">
        <f t="shared" si="19"/>
        <v>432</v>
      </c>
      <c r="AG31" s="1125">
        <f t="shared" si="19"/>
        <v>0</v>
      </c>
      <c r="AH31" s="1125">
        <f t="shared" si="19"/>
        <v>14</v>
      </c>
      <c r="AI31" s="1125">
        <f t="shared" si="19"/>
        <v>0</v>
      </c>
      <c r="AJ31" s="1118">
        <f t="shared" si="19"/>
        <v>0</v>
      </c>
      <c r="AK31" s="1125">
        <f t="shared" si="19"/>
        <v>0</v>
      </c>
      <c r="AL31" s="1125">
        <f t="shared" si="19"/>
        <v>0</v>
      </c>
      <c r="AM31" s="1125">
        <f t="shared" si="19"/>
        <v>1123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140</v>
      </c>
      <c r="BD31" s="1117">
        <f t="shared" si="19"/>
        <v>297</v>
      </c>
      <c r="BE31" s="1117">
        <f t="shared" si="19"/>
        <v>0</v>
      </c>
      <c r="BF31" s="1127">
        <f t="shared" si="19"/>
        <v>0</v>
      </c>
      <c r="BG31" s="1223">
        <f>IF(ISNUMBER(Datos!K31/Datos!J31),Datos!K31/Datos!J31," - ")</f>
        <v>1.2012578616352201</v>
      </c>
      <c r="BH31" s="1223">
        <f>IF(ISNUMBER(((Datos!L31/Datos!K31)*11)/factor_trimestre),((Datos!L31/Datos!K31)*11)/factor_trimestre," - ")</f>
        <v>4.167539267015707</v>
      </c>
      <c r="BI31" s="1103">
        <f>IF(ISNUMBER(Datos!J31/Datos!I31),Datos!J31/Datos!I31," - ")</f>
        <v>0.5347533632286996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-0.66421568627450978</v>
      </c>
      <c r="BM31" s="1188">
        <f>IF(ISNUMBER((Datos!P31-Datos!Q31+R31)/(Datos!R31-Datos!P31+Datos!Q31-R31)),(Datos!P31-Datos!Q31+R31)/(Datos!R31-Datos!P31+Datos!Q31-R31)," - ")</f>
        <v>-2.6642984014209592E-3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203.75868079667183</v>
      </c>
      <c r="G33" s="674">
        <f>IF(ISNUMBER(STDEV(G8:G30)),STDEV(G8:G30),"-")</f>
        <v>201.88846520034863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124.6098673766209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41.279534881100588</v>
      </c>
      <c r="BD33" s="673"/>
      <c r="BE33" s="673">
        <f>IF(ISNUMBER(STDEV(BE8:BE30)),STDEV(BE8:BE30),"-")</f>
        <v>0</v>
      </c>
      <c r="BF33" s="678">
        <f>IF(ISNUMBER(STDEV(BF8:BF30)),STDEV(BF8:BF30),"-")</f>
        <v>0</v>
      </c>
      <c r="BG33" s="1052">
        <f>IF(ISNUMBER(STDEV(BG8:BG30)),STDEV(BG8:BG30),"-")</f>
        <v>0.78594284897677436</v>
      </c>
      <c r="BH33" s="1058">
        <f>IF(ISNUMBER(STDEV(BH8:BH30)),STDEV(BH8:BH30),"-")</f>
        <v>2.4672371175603791</v>
      </c>
      <c r="BI33" s="273">
        <f>IF(ISNUMBER(STDEV(BI8:BI30)),STDEV(BI8:BI30),"-")</f>
        <v>0.12150580813503642</v>
      </c>
      <c r="BJ33" s="244" t="str">
        <f>IF(ISNUMBER(BL33/BM33),BL33/BM33," - ")</f>
        <v xml:space="preserve"> - </v>
      </c>
      <c r="BK33" s="709"/>
      <c r="BL33" s="681">
        <f>IF(ISNUMBER(STDEV(BL8:BL30)),STDEV(BL8:BL30),"-")</f>
        <v>0.23924665528868155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SdlBZYewSflUTMWqeWLxERnHDgag+e/f9p9Ko5km/SROTBShKQ19xmbVhfP2wJHyEMwAJncckaR0rKbXwOmw==" saltValue="KlVV+ZJbuZAdD92xxFrd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ARENAS DE SAN PEDRO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v>
      </c>
      <c r="AA12" s="551" t="str">
        <f>IF(ISNUMBER(IF(J_V="SI",Datos!L12,Datos!L12+Datos!AB12)-IF(Monitorios="SI",Datos!CD12,0)),
                          IF(J_V="SI",Datos!L12,Datos!L12+Datos!AB12)-IF(Monitorios="SI",Datos!CD12,0),
                          " - ")</f>
        <v xml:space="preserve"> - </v>
      </c>
      <c r="AB12" s="549"/>
      <c r="AC12" s="549"/>
      <c r="AD12" s="563"/>
      <c r="AE12" s="563">
        <f>IF(ISNUMBER(Datos!R12),Datos!R12," - ")</f>
        <v>1084</v>
      </c>
      <c r="AF12" s="693" t="str">
        <f>IF(ISNUMBER(Datos!BV12),Datos!BV12," - ")</f>
        <v xml:space="preserve"> - </v>
      </c>
      <c r="AG12" s="552" t="str">
        <f>IF(ISNUMBER(Datos!DV12),Datos!DV12," - ")</f>
        <v xml:space="preserve"> - </v>
      </c>
      <c r="AH12" s="553"/>
      <c r="AI12" s="554"/>
      <c r="AJ12" s="552">
        <f>IF(ISNUMBER(Datos!M12),Datos!M12," - ")</f>
        <v>93</v>
      </c>
      <c r="AK12" s="693">
        <f>IF(ISNUMBER(Datos!N12),Datos!N12," - ")</f>
        <v>121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3.5437499999999997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5.5658627087198514E-3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59</v>
      </c>
      <c r="AA14" s="1199">
        <f t="shared" si="3"/>
        <v>7</v>
      </c>
      <c r="AB14" s="1199">
        <f t="shared" si="3"/>
        <v>0</v>
      </c>
      <c r="AC14" s="1199">
        <f t="shared" si="3"/>
        <v>0</v>
      </c>
      <c r="AD14" s="1199">
        <f t="shared" si="3"/>
        <v>0</v>
      </c>
      <c r="AE14" s="1199">
        <f t="shared" si="3"/>
        <v>1084</v>
      </c>
      <c r="AF14" s="1211">
        <f t="shared" si="3"/>
        <v>0</v>
      </c>
      <c r="AG14" s="1211">
        <f t="shared" si="3"/>
        <v>0</v>
      </c>
      <c r="AH14" s="1211">
        <f t="shared" si="3"/>
        <v>0</v>
      </c>
      <c r="AI14" s="1211">
        <f t="shared" si="3"/>
        <v>0</v>
      </c>
      <c r="AJ14" s="1211">
        <f t="shared" si="3"/>
        <v>95</v>
      </c>
      <c r="AK14" s="1211">
        <f t="shared" si="3"/>
        <v>122</v>
      </c>
      <c r="AL14" s="1211">
        <f t="shared" si="3"/>
        <v>0</v>
      </c>
      <c r="AM14" s="1211">
        <f t="shared" si="3"/>
        <v>0</v>
      </c>
      <c r="AN14" s="1211">
        <f t="shared" si="3"/>
        <v>0</v>
      </c>
      <c r="AO14" s="1203">
        <f>IF(ISNUMBER(((NºAsuntos!I14/NºAsuntos!G14)*11)/factor_trimestre),((NºAsuntos!I14/NºAsuntos!G14)*11)/factor_trimestre," - ")</f>
        <v>3.5758513931888545</v>
      </c>
      <c r="AP14" s="1213" t="str">
        <f>IF(ISNUMBER(Datos!CI14/Datos!CJ14),Datos!CI14/Datos!CJ14," - ")</f>
        <v xml:space="preserve"> - </v>
      </c>
      <c r="AQ14" s="1236">
        <f t="shared" ref="AQ14:AV14" si="4">SUBTOTAL(9,AQ9:AQ13)</f>
        <v>0</v>
      </c>
      <c r="AR14" s="1236">
        <f t="shared" si="4"/>
        <v>5.5658627087198514E-3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399</v>
      </c>
      <c r="G17" s="552">
        <f>IF(ISNUMBER(IF(D_I="SI",Datos!I17,Datos!I17+Datos!AC17)),IF(D_I="SI",Datos!I17,Datos!I17+Datos!AC17)," - ")</f>
        <v>399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251</v>
      </c>
      <c r="Z17" s="805">
        <f>IF(ISNUMBER(Datos!Q17),Datos!Q17," - ")</f>
        <v>13</v>
      </c>
      <c r="AA17" s="551">
        <f>IF(ISNUMBER(IF(D_I="SI",Datos!L17,Datos!L17+Datos!AF17)),IF(D_I="SI",Datos!L17,Datos!L17+Datos!AF17)," - ")</f>
        <v>369</v>
      </c>
      <c r="AB17" s="549"/>
      <c r="AC17" s="549"/>
      <c r="AD17" s="563"/>
      <c r="AE17" s="563">
        <f>IF(ISNUMBER(Datos!R17),Datos!R17," - ")</f>
        <v>39</v>
      </c>
      <c r="AF17" s="693" t="str">
        <f>IF(ISNUMBER(Datos!BV17),Datos!BV17," - ")</f>
        <v xml:space="preserve"> - </v>
      </c>
      <c r="AG17" s="552"/>
      <c r="AH17" s="553"/>
      <c r="AI17" s="554"/>
      <c r="AJ17" s="552">
        <f>IF(ISNUMBER(Datos!M17),Datos!M17," - ")</f>
        <v>45</v>
      </c>
      <c r="AK17" s="693">
        <f>IF(ISNUMBER(Datos!N17),Datos!N17," - ")</f>
        <v>157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4.4103585657370523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56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9.882352941176471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399</v>
      </c>
      <c r="G23" s="1197">
        <f>SUBTOTAL(9,G16:G22)</f>
        <v>451</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268</v>
      </c>
      <c r="Z23" s="1240">
        <f t="shared" si="6"/>
        <v>13</v>
      </c>
      <c r="AA23" s="1240">
        <f t="shared" si="6"/>
        <v>425</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45</v>
      </c>
      <c r="AK23" s="1240">
        <f t="shared" si="6"/>
        <v>175</v>
      </c>
      <c r="AL23" s="1240">
        <f t="shared" si="6"/>
        <v>0</v>
      </c>
      <c r="AM23" s="1240">
        <f t="shared" si="6"/>
        <v>0</v>
      </c>
      <c r="AN23" s="1240">
        <f t="shared" si="6"/>
        <v>0</v>
      </c>
      <c r="AO23" s="1242">
        <f>IF(ISNUMBER(((NºAsuntos!I23/NºAsuntos!G23)*11)/factor_trimestre),((NºAsuntos!I23/NºAsuntos!G23)*11)/factor_trimestre," - ")</f>
        <v>4.7574626865671643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408</v>
      </c>
      <c r="G31" s="1117">
        <f t="shared" si="12"/>
        <v>460</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271</v>
      </c>
      <c r="Z31" s="1124">
        <f t="shared" si="13"/>
        <v>72</v>
      </c>
      <c r="AA31" s="1125">
        <f t="shared" si="13"/>
        <v>432</v>
      </c>
      <c r="AB31" s="1125">
        <f t="shared" si="13"/>
        <v>0</v>
      </c>
      <c r="AC31" s="1125">
        <f t="shared" si="13"/>
        <v>0</v>
      </c>
      <c r="AD31" s="1126">
        <f t="shared" si="13"/>
        <v>0</v>
      </c>
      <c r="AE31" s="1126">
        <f t="shared" si="13"/>
        <v>1123</v>
      </c>
      <c r="AF31" s="1127">
        <f t="shared" si="13"/>
        <v>0</v>
      </c>
      <c r="AG31" s="1128">
        <f t="shared" si="13"/>
        <v>0</v>
      </c>
      <c r="AH31" s="1129">
        <f t="shared" si="13"/>
        <v>0</v>
      </c>
      <c r="AI31" s="1127">
        <f t="shared" si="13"/>
        <v>0</v>
      </c>
      <c r="AJ31" s="1117">
        <f t="shared" si="13"/>
        <v>140</v>
      </c>
      <c r="AK31" s="1117">
        <f t="shared" si="13"/>
        <v>297</v>
      </c>
      <c r="AL31" s="1117">
        <f t="shared" si="13"/>
        <v>0</v>
      </c>
      <c r="AM31" s="1130">
        <f t="shared" si="13"/>
        <v>0</v>
      </c>
      <c r="AN31" s="1120">
        <f>IF(ISNUMBER(Datos!K31/Datos!J31),Datos!K31/Datos!J31," - ")</f>
        <v>1.2012578616352201</v>
      </c>
      <c r="AO31" s="1120">
        <f>IF(ISNUMBER(FIND("06",Criterios!A8,1)),(IF(ISNUMBER(((Datos!R31/Datos!Q31)*11)/factor_trimestre),((Datos!R31/Datos!Q31)*11)/factor_trimestre," - ")),(IF(ISNUMBER(((Datos!L31/Datos!K31)*11)/factor_trimestre),((Datos!L31/Datos!K31)*11)/factor_trimestre," - ")))</f>
        <v>4.167539267015707</v>
      </c>
      <c r="AP31" s="1131" t="str">
        <f>IF(ISNUMBER(Datos!CI31/Datos!CJ31),Datos!CI31/Datos!CJ31," - ")</f>
        <v xml:space="preserve"> - </v>
      </c>
      <c r="AQ31" s="1131">
        <f>IF(OR(ISNUMBER(FIND("01",Criterios!A8,1)),ISNUMBER(FIND("02",Criterios!A8,1)),ISNUMBER(FIND("03",Criterios!A8,1)),ISNUMBER(FIND("04",Criterios!A8,1))),(J31-Y31+K31)/(F31-K31),(I31-Y31+K31)/(F31-K31))</f>
        <v>-0.66421568627450978</v>
      </c>
      <c r="AR31" s="1131">
        <f>IF(ISNUMBER((Datos!P31-Datos!Q31+O31)/(Datos!R31-Datos!P31+Datos!Q31-O31)),(Datos!P31-Datos!Q31+O31)/(Datos!R31-Datos!P31+Datos!Q31-O31)," - ")</f>
        <v>-2.6642984014209592E-3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203.75868079667183</v>
      </c>
      <c r="G33" s="674">
        <f>IF(ISNUMBER(STDEV(G8:G30)),STDEV(G8:G30),"-")</f>
        <v>201.88846520034863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41.279534881100588</v>
      </c>
      <c r="AK33" s="276"/>
      <c r="AL33" s="276">
        <f>IF(ISNUMBER(STDEV(AL8:AL30)),STDEV(AL8:AL30),"-")</f>
        <v>0</v>
      </c>
      <c r="AM33" s="278">
        <f>IF(ISNUMBER(STDEV(AM8:AM30)),STDEV(AM8:AM30),"-")</f>
        <v>0</v>
      </c>
      <c r="AN33" s="660">
        <f>IF(ISNUMBER(STDEV(AN8:AN30)),STDEV(AN8:AN30),"-")</f>
        <v>0</v>
      </c>
      <c r="AO33" s="661">
        <f>IF(ISNUMBER(STDEV(AO8:AO30)),STDEV(AO8:AO30),"-")</f>
        <v>2.4786349220257975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r5RqrWzTlERAl0zvOXEGRl9XNG6joPNOtYU5eFeluM/lR2Bzc5Mi1qcpo5BaXgRNzBZYzSDKTPB8m/uIo173Q==" saltValue="GZLUpE0nUGejx/cobhIa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bIX1lwVgzj6mFxMdw5pViL2UfD15PC8xamT/fBCZ5NB4pypLxx37DCBUZg9jRExyXiLbXWbCzJd38083YAhFg==" saltValue="UbVe/mXdDNqC8UPlvgVd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Tej4CTcoQdk9GzvWQhdrSyEEGim31IyszBEk2g4dIPywOSloFL5MKaPk6b3mVjg3OOt2+0KFSqOAMV5fA3Lrw==" saltValue="5jVI1i3GvlZXex09N1Cw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ARENAS DE SAN PEDRO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0.29411764705882354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0.20797258270192576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6lPJX3p1U94ac73rLbpbjh44LQR7MqrngYH2cJ7dwh8F962T3rMMG3c+uShkwEySfOoS+c4kIAlCklyKaPbGg==" saltValue="xJEorABwdUJq/0qFCf/T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NFiikxQkmJKmaEmRzXHWbIZ5Vk6cIHUdyOKlTYC5zBybfFTOinCIJQqIgz11+BPSVbbwCGgEFirHOwnR9lXVw==" saltValue="KY6KjzTGvni1eAM5MTi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ARENAS DE SAN PEDRO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3</v>
      </c>
      <c r="H10" s="452">
        <f>IF(ISNUMBER(G10/B10),G10/B10," - ")</f>
        <v>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443</v>
      </c>
      <c r="D12" s="452">
        <f>IF(ISNUMBER(C12/Datos!BH12),C12/Datos!BH12," - ")</f>
        <v>221.5</v>
      </c>
      <c r="E12" s="451">
        <f>IF(ISNUMBER(IF(J_V="SI",Datos!J12,Datos!J12+Datos!Z12)),IF(J_V="SI",Datos!J12,Datos!J12+Datos!Z12)," - ")</f>
        <v>255</v>
      </c>
      <c r="F12" s="452">
        <f>IF(ISNUMBER(E12/B12),E12/B12," - ")</f>
        <v>127.5</v>
      </c>
      <c r="G12" s="451">
        <f>IF(ISNUMBER(IF(J_V="SI",Datos!K12,Datos!K12+Datos!AA12)),IF(J_V="SI",Datos!K12,Datos!K12+Datos!AA12)," - ")</f>
        <v>320</v>
      </c>
      <c r="H12" s="452">
        <f>IF(ISNUMBER(G12/B12),G12/B12," - ")</f>
        <v>160</v>
      </c>
      <c r="I12" s="451">
        <f>IF(ISNUMBER(IF(J_V="SI",Datos!L12,Datos!L12+Datos!AB12)),IF(J_V="SI",Datos!L12,Datos!L12+Datos!AB12)," - ")</f>
        <v>378</v>
      </c>
      <c r="J12" s="452">
        <f>IF(ISNUMBER(I12/B12),I12/B12," - ")</f>
        <v>189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452</v>
      </c>
      <c r="D14" s="1147" t="str">
        <f>IF(ISNUMBER(C14/Datos!BI14),C14/Datos!BI14," - ")</f>
        <v xml:space="preserve"> - </v>
      </c>
      <c r="E14" s="1146">
        <f>SUBTOTAL(9,E8:E13)</f>
        <v>256</v>
      </c>
      <c r="F14" s="1147">
        <f>IF(ISNUMBER(E14/B14),E14/B14," - ")</f>
        <v>128</v>
      </c>
      <c r="G14" s="1146">
        <f>SUBTOTAL(9,G8:G13)</f>
        <v>323</v>
      </c>
      <c r="H14" s="1147">
        <f>IF(ISNUMBER(G14/B14),G14/B14," - ")</f>
        <v>161.5</v>
      </c>
      <c r="I14" s="1146">
        <f>SUBTOTAL(9,I8:I13)</f>
        <v>385</v>
      </c>
      <c r="J14" s="1147">
        <f>IF(ISNUMBER(I14/B14),I14/B14," - ")</f>
        <v>192.5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399</v>
      </c>
      <c r="D17" s="452">
        <f>IF(ISNUMBER(C17/Datos!BH17),C17/Datos!BH17," - ")</f>
        <v>199.5</v>
      </c>
      <c r="E17" s="451">
        <f>IF(ISNUMBER(IF(D_I="SI",Datos!J17,Datos!J17+Datos!AD17)),IF(D_I="SI",Datos!J17,Datos!J17+Datos!AD17)," - ")</f>
        <v>221</v>
      </c>
      <c r="F17" s="452">
        <f>IF(ISNUMBER(E17/B17),E17/B17," - ")</f>
        <v>110.5</v>
      </c>
      <c r="G17" s="451">
        <f>IF(ISNUMBER(IF(D_I="SI",Datos!K17,Datos!K17+Datos!AE17)),IF(D_I="SI",Datos!K17,Datos!K17+Datos!AE17)," - ")</f>
        <v>251</v>
      </c>
      <c r="H17" s="452">
        <f>IF(ISNUMBER(G17/B17),G17/B17," - ")</f>
        <v>125.5</v>
      </c>
      <c r="I17" s="451">
        <f>IF(ISNUMBER(IF(D_I="SI",Datos!L17,Datos!L17+Datos!AF17)),IF(D_I="SI",Datos!L17,Datos!L17+Datos!AF17)," - ")</f>
        <v>369</v>
      </c>
      <c r="J17" s="452">
        <f>IF(ISNUMBER(I17/B17),I17/B17," - ")</f>
        <v>184.5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21</v>
      </c>
      <c r="F18" s="452">
        <f>IF(ISNUMBER(E18/B18),E18/B18," - ")</f>
        <v>21</v>
      </c>
      <c r="G18" s="451">
        <f>IF(ISNUMBER(IF(D_I="SI",Datos!K18,Datos!K18+Datos!AE18)),IF(D_I="SI",Datos!K18,Datos!K18+Datos!AE18)," - ")</f>
        <v>17</v>
      </c>
      <c r="H18" s="452">
        <f>IF(ISNUMBER(G18/B18),G18/B18," - ")</f>
        <v>17</v>
      </c>
      <c r="I18" s="451">
        <f>IF(ISNUMBER(IF(D_I="SI",Datos!L18,Datos!L18+Datos!AF18)),IF(D_I="SI",Datos!L18,Datos!L18+Datos!AF18)," - ")</f>
        <v>56</v>
      </c>
      <c r="J18" s="452">
        <f>IF(ISNUMBER(I18/B18),I18/B18," - ")</f>
        <v>56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451</v>
      </c>
      <c r="D23" s="1147" t="str">
        <f>IF(ISNUMBER(C23/Datos!BI23),C23/Datos!BI23," - ")</f>
        <v xml:space="preserve"> - </v>
      </c>
      <c r="E23" s="1146">
        <f>SUBTOTAL(9,E15:E22)</f>
        <v>242</v>
      </c>
      <c r="F23" s="1147">
        <f>IF(ISNUMBER(E23/B23),E23/B23," - ")</f>
        <v>121</v>
      </c>
      <c r="G23" s="1146">
        <f>SUBTOTAL(9,G15:G22)</f>
        <v>268</v>
      </c>
      <c r="H23" s="1147">
        <f>IF(ISNUMBER(G23/B23),G23/B23," - ")</f>
        <v>134</v>
      </c>
      <c r="I23" s="1146">
        <f>SUBTOTAL(9,I15:I22)</f>
        <v>425</v>
      </c>
      <c r="J23" s="1147">
        <f>IF(ISNUMBER(I23/B23),I23/B23," - ")</f>
        <v>212.5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903</v>
      </c>
      <c r="D31" s="1085" t="str">
        <f>IF(ISNUMBER(C31/Datos!BI31),C31/Datos!BI31," - ")</f>
        <v xml:space="preserve"> - </v>
      </c>
      <c r="E31" s="1084">
        <f>SUBTOTAL(9,E9:E30)</f>
        <v>498</v>
      </c>
      <c r="F31" s="1085">
        <f>IF(ISNUMBER(E31/B31),E31/B31," - ")</f>
        <v>249</v>
      </c>
      <c r="G31" s="1084">
        <f>SUBTOTAL(9,G9:G30)</f>
        <v>591</v>
      </c>
      <c r="H31" s="1085">
        <f>IF(ISNUMBER(G31/B31),G31/B31," - ")</f>
        <v>295.5</v>
      </c>
      <c r="I31" s="1084">
        <f>SUBTOTAL(9,I9:I30)</f>
        <v>810</v>
      </c>
      <c r="J31" s="1085">
        <f>IF(ISNUMBER(I31/B31),I31/B31," - ")</f>
        <v>405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VNSB8lEusUJC/vOGEFiiPabYUA3VMurk+2asEUBEmFwRmPFfBYwDaQ0Q3qxUR3Ms/7V/RhMeTICd7IMDn+3WQ==" saltValue="j90qf5+MbxWUzCurZ7I1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ARENAS DE SAN PEDRO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121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3.5437499999999997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5.5658627087198514E-3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59</v>
      </c>
      <c r="AE14" s="1257">
        <f t="shared" si="1"/>
        <v>0</v>
      </c>
      <c r="AF14" s="1257">
        <f t="shared" si="1"/>
        <v>7</v>
      </c>
      <c r="AG14" s="1257">
        <f t="shared" si="1"/>
        <v>0</v>
      </c>
      <c r="AH14" s="1257">
        <f t="shared" si="1"/>
        <v>1084</v>
      </c>
      <c r="AI14" s="1257">
        <f t="shared" si="1"/>
        <v>0</v>
      </c>
      <c r="AJ14" s="1257">
        <f t="shared" si="1"/>
        <v>0</v>
      </c>
      <c r="AK14" s="1257">
        <f t="shared" si="1"/>
        <v>0</v>
      </c>
      <c r="AL14" s="1257">
        <f t="shared" si="1"/>
        <v>95</v>
      </c>
      <c r="AM14" s="1257">
        <f t="shared" si="1"/>
        <v>122</v>
      </c>
      <c r="AN14" s="1257">
        <f t="shared" si="1"/>
        <v>0</v>
      </c>
      <c r="AO14" s="1257">
        <f t="shared" si="1"/>
        <v>0</v>
      </c>
      <c r="AP14" s="1262">
        <f>IF(ISNUMBER(((Datos!L14/Datos!K14)*11)/factor_trimestre),((Datos!L14/Datos!K14)*11)/factor_trimestre," - ")</f>
        <v>3.6491803278688524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5.5658627087198514E-3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4.7574626865671643</v>
      </c>
      <c r="AQ23" s="1262">
        <f>IF(ISNUMBER(((Datos!M23/Datos!L23)*11)/factor_trimestre),((Datos!M23/Datos!L23)*11)/factor_trimestre," - ")</f>
        <v>0.31764705882352945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-5.0387596899224806E-2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59</v>
      </c>
      <c r="AE31" s="1284">
        <f t="shared" si="9"/>
        <v>0</v>
      </c>
      <c r="AF31" s="1285">
        <f t="shared" si="9"/>
        <v>7</v>
      </c>
      <c r="AG31" s="1285">
        <f t="shared" si="9"/>
        <v>0</v>
      </c>
      <c r="AH31" s="1285">
        <f t="shared" si="9"/>
        <v>1084</v>
      </c>
      <c r="AI31" s="1285">
        <f t="shared" si="9"/>
        <v>0</v>
      </c>
      <c r="AJ31" s="1286">
        <f t="shared" si="9"/>
        <v>0</v>
      </c>
      <c r="AK31" s="1286">
        <f t="shared" si="9"/>
        <v>0</v>
      </c>
      <c r="AL31" s="1278">
        <f t="shared" si="9"/>
        <v>95</v>
      </c>
      <c r="AM31" s="1278">
        <f t="shared" si="9"/>
        <v>122</v>
      </c>
      <c r="AN31" s="1278">
        <f t="shared" si="9"/>
        <v>0</v>
      </c>
      <c r="AO31" s="1278">
        <f t="shared" si="9"/>
        <v>0</v>
      </c>
      <c r="AP31" s="1278">
        <f>IF(ISNUMBER(((Datos!L31/Datos!K31)*11)/factor_trimestre),((Datos!L31/Datos!K31)*11)/factor_trimestre," - ")</f>
        <v>4.167539267015707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-2.6642984014209592E-3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48.293546842892646</v>
      </c>
      <c r="AM33" s="1006"/>
      <c r="AN33" s="1006">
        <f>IF(ISNUMBER(STDEV(AN8:AN30)),STDEV(AN8:AN30),"-")</f>
        <v>0</v>
      </c>
      <c r="AO33" s="1012">
        <f>IF(ISNUMBER(STDEV(AO8:AO30)),STDEV(AO8:AO30),"-")</f>
        <v>0</v>
      </c>
      <c r="AP33" s="1065">
        <f>IF(ISNUMBER(STDEV(AP8:AP30)),STDEV(AP8:AP30),"-")</f>
        <v>1.605073569600217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QROP0uXQ9+RK80VshlwReUkpNkOih9Wc1vkmWWdRlnQ+aQXhBec7jXf3z1U+b+6HFZ+tVGwqkBH6051PO5HQ==" saltValue="dRXtQThV1ESpwt/IyJp0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ARENAS DE SAN PEDRO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hW0/dzd+UIGuimqpLK6dGMVCGqeYTs8QI3Jh3sCdmwiPL5oi/L6mkhvj8edimYFyAyOKmDKUp0Hh68VpPSKTg==" saltValue="M+bcOzC67SQpTurDbrEk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ARENAS DE SAN PEDRO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93</v>
      </c>
      <c r="E12" s="452">
        <f t="shared" si="0"/>
        <v>46.5</v>
      </c>
      <c r="F12" s="451">
        <f>IF(ISNUMBER(Datos!N12),Datos!N12," - ")</f>
        <v>121</v>
      </c>
      <c r="G12" s="452">
        <f t="shared" si="1"/>
        <v>60.5</v>
      </c>
      <c r="H12" s="451">
        <f>IF(ISNUMBER(Datos!O12),Datos!O12," - ")</f>
        <v>97</v>
      </c>
      <c r="I12" s="452">
        <f t="shared" si="2"/>
        <v>48.5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95</v>
      </c>
      <c r="E14" s="1147">
        <f t="shared" si="0"/>
        <v>31.666666666666668</v>
      </c>
      <c r="F14" s="1146">
        <f>SUBTOTAL(9,F9:F13)</f>
        <v>122</v>
      </c>
      <c r="G14" s="1147">
        <f t="shared" si="1"/>
        <v>40.666666666666664</v>
      </c>
      <c r="H14" s="1146">
        <f>SUBTOTAL(9,H9:H13)</f>
        <v>97</v>
      </c>
      <c r="I14" s="1147">
        <f>IF(ISNUMBER(H14/B14),H14/B14," - ")</f>
        <v>32.333333333333336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157</v>
      </c>
      <c r="G17" s="452">
        <f t="shared" si="4"/>
        <v>78.5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45</v>
      </c>
      <c r="E23" s="1147">
        <f t="shared" si="3"/>
        <v>15</v>
      </c>
      <c r="F23" s="1146">
        <f>SUBTOTAL(9,F16:F22)</f>
        <v>175</v>
      </c>
      <c r="G23" s="1147">
        <f t="shared" si="4"/>
        <v>58.333333333333336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140</v>
      </c>
      <c r="E31" s="1085">
        <f>IF(ISNUMBER(D31/B31),D31/B31," - ")</f>
        <v>70</v>
      </c>
      <c r="F31" s="1084">
        <f>SUBTOTAL(9,F8:F30)</f>
        <v>297</v>
      </c>
      <c r="G31" s="1085">
        <f>IF(ISNUMBER(F31/B31),F31/B31," - ")</f>
        <v>148.5</v>
      </c>
      <c r="H31" s="1084">
        <f>SUBTOTAL(9,H8:H30)</f>
        <v>97</v>
      </c>
      <c r="I31" s="1085">
        <f>IF(ISNUMBER(H31/B31),H31/B31," - ")</f>
        <v>48.5</v>
      </c>
    </row>
    <row r="34" spans="1:1">
      <c r="A34" s="439" t="str">
        <f>Criterios!A4</f>
        <v>Fecha Informe: 05 may. 2023</v>
      </c>
    </row>
    <row r="39" spans="1:1">
      <c r="A39" s="462"/>
    </row>
  </sheetData>
  <sheetProtection algorithmName="SHA-512" hashValue="yVdGONyltHlEaurS5vcSRB3NZztflUsFvz5LCFWbcukPhszjoBTtwPPR+gIwMqYAKXC7khG1owxXuPkXx7Ffrg==" saltValue="bPG9YlGYU30qg3H9LZ2a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ARENAS DE SAN PEDRO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59</v>
      </c>
      <c r="D12" s="456">
        <f>IF(ISNUMBER(Datos!R12),Datos!R12," - ")</f>
        <v>1084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59</v>
      </c>
      <c r="D14" s="1148">
        <f>SUBTOTAL(9,D9:D13)</f>
        <v>1084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13</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13</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72</v>
      </c>
      <c r="D31" s="1090">
        <f>SUBTOTAL(9,D8:D30)</f>
        <v>1123</v>
      </c>
    </row>
    <row r="32" spans="1:4" ht="7.5" customHeight="1"/>
    <row r="33" spans="1:1" ht="6" customHeight="1"/>
    <row r="34" spans="1:1">
      <c r="A34" s="439" t="str">
        <f>Criterios!A4</f>
        <v>Fecha Informe: 05 may. 2023</v>
      </c>
    </row>
    <row r="39" spans="1:1">
      <c r="A39" s="462"/>
    </row>
  </sheetData>
  <sheetProtection algorithmName="SHA-512" hashValue="EOy4yiD4l08rWzF/N5QW7/qOR7Wz+wI7MZZtO/0hah+lOXu67fKEaFDPvd/Z6ymBRVjCMI/c3k1oY1Kl5t4/8g==" saltValue="4dYYxCqDslGSpbGq5d8j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ARENAS DE SAN PEDRO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3.5</v>
      </c>
      <c r="C10" s="515">
        <f>IF(ISNUMBER((Datos!J10-Datos!T10)/Datos!T10),(Datos!J10-Datos!T10)/Datos!T10," - ")</f>
        <v>-0.8</v>
      </c>
      <c r="D10" s="515">
        <f>IF(ISNUMBER((Datos!K10-Datos!U10)/Datos!U10),(Datos!K10-Datos!U10)/Datos!U10," - ")</f>
        <v>2</v>
      </c>
      <c r="E10" s="515">
        <f>IF(ISNUMBER((Datos!L10-Datos!V10)/Datos!V10),(Datos!L10-Datos!V10)/Datos!V10," - ")</f>
        <v>0.16666666666666666</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13.999999999999998</v>
      </c>
      <c r="I10" s="515">
        <f>IF(ISNUMBER(((NºAsuntos!I10/NºAsuntos!G10)-Datos!BE10)/Datos!BE10),((NºAsuntos!I10/NºAsuntos!G10)-Datos!BE10)/Datos!BE10," - ")</f>
        <v>-0.61111111111111105</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-0.52380952380952384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-5.9447983014861996E-2</v>
      </c>
      <c r="C12" s="515">
        <f>IF(ISNUMBER(
   IF(J_V="SI",(Datos!J12-Datos!T12)/Datos!T12,(Datos!J12+Datos!Z12-(Datos!T12+Datos!AH12))/(Datos!T12+Datos!AH12))
     ),IF(J_V="SI",(Datos!J12-Datos!T12)/Datos!T12,(Datos!J12+Datos!Z12-(Datos!T12+Datos!AH12))/(Datos!T12+Datos!AH12))," - ")</f>
        <v>-7.9422382671480149E-2</v>
      </c>
      <c r="D12" s="515">
        <f>IF(ISNUMBER(
   IF(J_V="SI",(Datos!K12-Datos!U12)/Datos!U12,(Datos!K12+Datos!AA12-(Datos!U12+Datos!AI12))/(Datos!U12+Datos!AI12))
     ),IF(J_V="SI",(Datos!K12-Datos!U12)/Datos!U12,(Datos!K12+Datos!AA12-(Datos!U12+Datos!AI12))/(Datos!U12+Datos!AI12))," - ")</f>
        <v>-6.2111801242236021E-3</v>
      </c>
      <c r="E12" s="515">
        <f>IF(ISNUMBER(
   IF(J_V="SI",(Datos!L12-Datos!V12)/Datos!V12,(Datos!L12+Datos!AB12-(Datos!V12+Datos!AJ12))/(Datos!V12+Datos!AJ12))
     ),IF(J_V="SI",(Datos!L12-Datos!V12)/Datos!V12,(Datos!L12+Datos!AB12-(Datos!V12+Datos!AJ12))/(Datos!V12+Datos!AJ12))," - ")</f>
        <v>-0.11267605633802817</v>
      </c>
      <c r="F12" s="515">
        <f>IF(ISNUMBER((Datos!M12-Datos!W12)/Datos!W12),(Datos!M12-Datos!W12)/Datos!W12," - ")</f>
        <v>0.10714285714285714</v>
      </c>
      <c r="G12" s="516">
        <f>IF(ISNUMBER((Datos!N12-Datos!X12)/Datos!X12),(Datos!N12-Datos!X12)/Datos!X12," - ")</f>
        <v>8.0357142857142863E-2</v>
      </c>
      <c r="H12" s="514">
        <f>IF(ISNUMBER(((NºAsuntos!G12/NºAsuntos!E12)-Datos!BD12)/Datos!BD12),((NºAsuntos!G12/NºAsuntos!E12)-Datos!BD12)/Datos!BD12," - ")</f>
        <v>7.9527463159176623E-2</v>
      </c>
      <c r="I12" s="515">
        <f>IF(ISNUMBER(((NºAsuntos!I12/NºAsuntos!G12)-Datos!BE12)/Datos!BE12),((NºAsuntos!I12/NºAsuntos!G12)-Datos!BE12)/Datos!BE12," - ")</f>
        <v>-0.10713028169014087</v>
      </c>
      <c r="J12" s="521">
        <f>IF(ISNUMBER((('Resol  Asuntos'!D12/NºAsuntos!G12)-Datos!BF12)/Datos!BF12),(('Resol  Asuntos'!D12/NºAsuntos!G12)-Datos!BF12)/Datos!BF12," - ")</f>
        <v>-0.16445312499999992</v>
      </c>
      <c r="K12" s="522">
        <f>IF(ISNUMBER((((NºAsuntos!C12+NºAsuntos!E12)/NºAsuntos!G12)-Datos!BG12)/Datos!BG12),(((NºAsuntos!C12+NºAsuntos!E12)/NºAsuntos!G12)-Datos!BG12)/Datos!BG12," - ")</f>
        <v>-6.1012700534759462E-2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-4.4397463002114168E-2</v>
      </c>
      <c r="C14" s="1152">
        <f>IF(ISNUMBER(
   IF(J_V="SI",(Datos!J14-Datos!T14)/Datos!T14,(Datos!J14+Datos!Z14-(Datos!T14+Datos!AH14))/(Datos!T14+Datos!AH14))
     ),IF(J_V="SI",(Datos!J14-Datos!T14)/Datos!T14,(Datos!J14+Datos!Z14-(Datos!T14+Datos!AH14))/(Datos!T14+Datos!AH14))," - ")</f>
        <v>-9.2198581560283682E-2</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-0.10879629629629629</v>
      </c>
      <c r="F14" s="1153">
        <f>IF(ISNUMBER((Datos!M14-Datos!W14)/Datos!W14),(Datos!M14-Datos!W14)/Datos!W14," - ")</f>
        <v>0.11764705882352941</v>
      </c>
      <c r="G14" s="1154">
        <f>IF(ISNUMBER((Datos!N14-Datos!X14)/Datos!X14),(Datos!N14-Datos!X14)/Datos!X14," - ")</f>
        <v>8.9285714285714288E-2</v>
      </c>
      <c r="H14" s="1154">
        <f>IF(ISNUMBER(((NºAsuntos!G14/NºAsuntos!E14)-Datos!BD14)/Datos!BD14),((NºAsuntos!G14/NºAsuntos!E14)-Datos!BD14)/Datos!BD14," - ")</f>
        <v>0.10156250000000007</v>
      </c>
      <c r="I14" s="1154">
        <f>IF(ISNUMBER(((NºAsuntos!I14/NºAsuntos!G14)-Datos!BE14)/Datos!BE14),((NºAsuntos!I14/NºAsuntos!G14)-Datos!BE14)/Datos!BE14," - ")</f>
        <v>-0.10879629629629624</v>
      </c>
      <c r="J14" s="1154">
        <f>IF(ISNUMBER((('Resol  Asuntos'!D14/NºAsuntos!G14)-Datos!BF14)/Datos!BF14),(('Resol  Asuntos'!D14/NºAsuntos!G14)-Datos!BF14)/Datos!BF14," - ")</f>
        <v>-0.15929203539823003</v>
      </c>
      <c r="K14" s="1154">
        <f>IF(ISNUMBER((((NºAsuntos!C14+NºAsuntos!E14)/NºAsuntos!G14)-Datos!BG14)/Datos!BG14),(((NºAsuntos!C14+NºAsuntos!E14)/NºAsuntos!G14)-Datos!BG14)/Datos!BG14," - ")</f>
        <v>-6.2251655629139035E-2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-0.10738255033557047</v>
      </c>
      <c r="C17" s="515">
        <f>IF(ISNUMBER(
   IF(D_I="SI",(Datos!J17-Datos!T17)/Datos!T17,(Datos!J17+Datos!AD17-(Datos!T17+Datos!AL17))/(Datos!T17+Datos!AL17))
     ),IF(D_I="SI",(Datos!J17-Datos!T17)/Datos!T17,(Datos!J17+Datos!AD17-(Datos!T17+Datos!AL17))/(Datos!T17+Datos!AL17))," - ")</f>
        <v>-0.30503144654088049</v>
      </c>
      <c r="D17" s="515">
        <f>IF(ISNUMBER(
   IF(D_I="SI",(Datos!K17-Datos!U17)/Datos!U17,(Datos!K17+Datos!AE17-(Datos!U17+Datos!AM17))/(Datos!U17+Datos!AM17))
     ),IF(D_I="SI",(Datos!K17-Datos!U17)/Datos!U17,(Datos!K17+Datos!AE17-(Datos!U17+Datos!AM17))/(Datos!U17+Datos!AM17))," - ")</f>
        <v>-0.17161716171617161</v>
      </c>
      <c r="E17" s="515">
        <f>IF(ISNUMBER(
   IF(D_I="SI",(Datos!L17-Datos!V17)/Datos!V17,(Datos!L17+Datos!AF17-(Datos!V17+Datos!AN17))/(Datos!V17+Datos!AN17))
     ),IF(D_I="SI",(Datos!L17-Datos!V17)/Datos!V17,(Datos!L17+Datos!AF17-(Datos!V17+Datos!AN17))/(Datos!V17+Datos!AN17))," - ")</f>
        <v>-0.20129870129870131</v>
      </c>
      <c r="F17" s="515">
        <f>IF(ISNUMBER((Datos!M17-Datos!W17)/Datos!W17),(Datos!M17-Datos!W17)/Datos!W17," - ")</f>
        <v>0.2857142857142857</v>
      </c>
      <c r="G17" s="516">
        <f>IF(ISNUMBER((Datos!N17-Datos!X17)/Datos!X17),(Datos!N17-Datos!X17)/Datos!X17," - ")</f>
        <v>-0.28636363636363638</v>
      </c>
      <c r="H17" s="514">
        <f>IF(ISNUMBER(((NºAsuntos!G17/NºAsuntos!E17)-Datos!BD17)/Datos!BD17),((NºAsuntos!G17/NºAsuntos!E17)-Datos!BD17)/Datos!BD17," - ")</f>
        <v>0.1919716858563684</v>
      </c>
      <c r="I17" s="515">
        <f>IF(ISNUMBER(((NºAsuntos!I17/NºAsuntos!G17)-Datos!BE17)/Datos!BE17),((NºAsuntos!I17/NºAsuntos!G17)-Datos!BE17)/Datos!BE17," - ")</f>
        <v>-3.5830703161380449E-2</v>
      </c>
      <c r="J17" s="521">
        <f>IF(ISNUMBER((('Resol  Asuntos'!D17/NºAsuntos!G17)-Datos!BF17)/Datos!BF17),(('Resol  Asuntos'!D17/NºAsuntos!G17)-Datos!BF17)/Datos!BF17," - ")</f>
        <v>0.55207740466704625</v>
      </c>
      <c r="K17" s="522">
        <f>IF(ISNUMBER((((NºAsuntos!C17+NºAsuntos!E17)/NºAsuntos!G17)-Datos!BG17)/Datos!BG17),(((NºAsuntos!C17+NºAsuntos!E17)/NºAsuntos!G17)-Datos!BG17)/Datos!BG17," - ")</f>
        <v>-2.1638934458245447E-2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0.20930232558139536</v>
      </c>
      <c r="C18" s="515">
        <f>IF(ISNUMBER(
   IF(D_I="SI",(Datos!J18-Datos!T18)/Datos!T18,(Datos!J18+Datos!AD18-(Datos!T18+Datos!AL18))/(Datos!T18+Datos!AL18))
     ),IF(D_I="SI",(Datos!J18-Datos!T18)/Datos!T18,(Datos!J18+Datos!AD18-(Datos!T18+Datos!AL18))/(Datos!T18+Datos!AL18))," - ")</f>
        <v>-8.6956521739130432E-2</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9.8039215686274508E-2</v>
      </c>
      <c r="F18" s="515" t="str">
        <f>IF(ISNUMBER((Datos!M18-Datos!W18)/Datos!W18),(Datos!M18-Datos!W18)/Datos!W18," - ")</f>
        <v xml:space="preserve"> - </v>
      </c>
      <c r="G18" s="516">
        <f>IF(ISNUMBER((Datos!N18-Datos!X18)/Datos!X18),(Datos!N18-Datos!X18)/Datos!X18," - ")</f>
        <v>0.2857142857142857</v>
      </c>
      <c r="H18" s="514">
        <f>IF(ISNUMBER(((NºAsuntos!G18/NºAsuntos!E18)-Datos!BD18)/Datos!BD18),((NºAsuntos!G18/NºAsuntos!E18)-Datos!BD18)/Datos!BD18," - ")</f>
        <v>0.24126984126984127</v>
      </c>
      <c r="I18" s="515">
        <f>IF(ISNUMBER(((NºAsuntos!I18/NºAsuntos!G18)-Datos!BE18)/Datos!BE18),((NºAsuntos!I18/NºAsuntos!G18)-Datos!BE18)/Datos!BE18," - ")</f>
        <v>-3.1141868512110746E-2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-2.4064171122994766E-2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-7.9591836734693874E-2</v>
      </c>
      <c r="C23" s="1152">
        <f>IF(ISNUMBER(
   IF(Criterios!B14="SI",(Datos!J23-Datos!T23)/Datos!T23,(Datos!J23+Datos!AD23-(Datos!T23+Datos!AL23))/(Datos!T23+Datos!AL23))
     ),IF(Criterios!B14="SI",(Datos!J23-Datos!T23)/Datos!T23,(Datos!J23+Datos!AD23-(Datos!T23+Datos!AL23))/(Datos!T23+Datos!AL23))," - ")</f>
        <v>-0.29032258064516131</v>
      </c>
      <c r="D23" s="1152">
        <f>IF(ISNUMBER(
   IF(Criterios!B14="SI",(Datos!K23-Datos!U23)/Datos!U23,(Datos!K23+Datos!AE23-(Datos!U23+Datos!AM23))/(Datos!U23+Datos!AM23))
     ),IF(Criterios!B14="SI",(Datos!K23-Datos!U23)/Datos!U23,(Datos!K23+Datos!AE23-(Datos!U23+Datos!AM23))/(Datos!U23+Datos!AM23))," - ")</f>
        <v>-0.15723270440251572</v>
      </c>
      <c r="E23" s="1152">
        <f>IF(ISNUMBER(
   IF(Criterios!B14="SI",(Datos!L23-Datos!V23)/Datos!V23,(Datos!L23+Datos!AF23-(Datos!V23+Datos!AN23))/(Datos!V23+Datos!AN23))
     ),IF(Criterios!B14="SI",(Datos!L23-Datos!V23)/Datos!V23,(Datos!L23+Datos!AF23-(Datos!V23+Datos!AN23))/(Datos!V23+Datos!AN23))," - ")</f>
        <v>-0.17153996101364521</v>
      </c>
      <c r="F23" s="1153">
        <f>IF(ISNUMBER((Datos!M23-Datos!W23)/Datos!W23),(Datos!M23-Datos!W23)/Datos!W23," - ")</f>
        <v>0.2857142857142857</v>
      </c>
      <c r="G23" s="1154">
        <f>IF(ISNUMBER((Datos!N23-Datos!X23)/Datos!X23),(Datos!N23-Datos!X23)/Datos!X23," - ")</f>
        <v>-0.25213675213675213</v>
      </c>
      <c r="H23" s="1154">
        <f>IF(ISNUMBER(((NºAsuntos!G23/NºAsuntos!E23)-Datos!BD23)/Datos!BD23),((NºAsuntos!G23/NºAsuntos!E23)-Datos!BD23)/Datos!BD23," - ")</f>
        <v>0.18753573470554619</v>
      </c>
      <c r="I23" s="1154">
        <f>IF(ISNUMBER(((NºAsuntos!I23/NºAsuntos!G23)-Datos!BE23)/Datos!BE23),((NºAsuntos!I23/NºAsuntos!G23)-Datos!BE23)/Datos!BE23," - ")</f>
        <v>-1.697652090425068E-2</v>
      </c>
      <c r="J23" s="1154">
        <f>IF(ISNUMBER((('Resol  Asuntos'!D23/NºAsuntos!G23)-Datos!BF23)/Datos!BF23),(('Resol  Asuntos'!D23/NºAsuntos!G23)-Datos!BF23)/Datos!BF23," - ")</f>
        <v>0.52558635394456299</v>
      </c>
      <c r="K23" s="1154">
        <f>IF(ISNUMBER((((NºAsuntos!C23+NºAsuntos!E23)/NºAsuntos!G23)-Datos!BG23)/Datos!BG23),(((NºAsuntos!C23+NºAsuntos!E23)/NºAsuntos!G23)-Datos!BG23)/Datos!BG23," - ")</f>
        <v>-1.0480090522118566E-2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-6.2305295950155763E-2</v>
      </c>
      <c r="C31" s="1092">
        <f>IF(ISNUMBER(
   IF(J_V="SI",(Datos!J31-Datos!T31)/Datos!T31,(Datos!J31+Datos!Z31-(Datos!T31+Datos!AH31))/(Datos!T31+Datos!AH31))
     ),IF(J_V="SI",(Datos!J31-Datos!T31)/Datos!T31,(Datos!J31+Datos!Z31-(Datos!T31+Datos!AH31))/(Datos!T31+Datos!AH31))," - ")</f>
        <v>-0.20064205457463885</v>
      </c>
      <c r="D31" s="1092">
        <f>IF(ISNUMBER(
   IF(J_V="SI",(Datos!K31-Datos!U31)/Datos!U31,(Datos!K31+Datos!AA31-(Datos!U31+Datos!AI31))/(Datos!U31+Datos!AI31))
     ),IF(J_V="SI",(Datos!K31-Datos!U31)/Datos!U31,(Datos!K31+Datos!AA31-(Datos!U31+Datos!AI31))/(Datos!U31+Datos!AI31))," - ")</f>
        <v>-7.8003120124804995E-2</v>
      </c>
      <c r="E31" s="1092">
        <f>IF(ISNUMBER(
   IF(J_V="SI",(Datos!L31-Datos!V31)/Datos!V31,(Datos!L31+Datos!AB31-(Datos!V31+Datos!AJ31))/(Datos!V31+Datos!AJ31))
     ),IF(J_V="SI",(Datos!L31-Datos!V31)/Datos!V31,(Datos!L31+Datos!AB31-(Datos!V31+Datos!AJ31))/(Datos!V31+Datos!AJ31))," - ")</f>
        <v>-0.14285714285714285</v>
      </c>
      <c r="F31" s="1093">
        <f>IF(ISNUMBER((Datos!M31-Datos!W31)/Datos!W31),(Datos!M31-Datos!W31)/Datos!W31," - ")</f>
        <v>0.16666666666666666</v>
      </c>
      <c r="G31" s="1094">
        <f>IF(ISNUMBER((Datos!N31-Datos!X31)/Datos!X31),(Datos!N31-Datos!X31)/Datos!X31," - ")</f>
        <v>-0.1416184971098266</v>
      </c>
      <c r="H31" s="1095">
        <f>IF(ISNUMBER((Tasas!B31-Datos!BD31)/Datos!BD31),(Tasas!B31-Datos!BD31)/Datos!BD31," - ")</f>
        <v>0.15342179952258339</v>
      </c>
      <c r="I31" s="1096">
        <f>IF(ISNUMBER((Tasas!C31-Datos!BE31)/Datos!BE31),(Tasas!C31-Datos!BE31)/Datos!BE31," - ")</f>
        <v>-7.034082668600436E-2</v>
      </c>
      <c r="J31" s="1097">
        <f>IF(ISNUMBER((Tasas!D31-Datos!BF31)/Datos!BF31),(Tasas!D31-Datos!BF31)/Datos!BF31," - ")</f>
        <v>2.597521379247263E-2</v>
      </c>
      <c r="K31" s="1097">
        <f>IF(ISNUMBER((Tasas!E31-Datos!BG31)/Datos!BG31),(Tasas!E31-Datos!BG31)/Datos!BG31," - ")</f>
        <v>-4.1911778826150228E-2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y37+bsvjY6WSfYBhXtgtkp8dlSibhqrkOm0rTjJpm93XUQCMhbRJBZFG0t+FUXsVV1piPeMmZ11Gw7GtZnmrw==" saltValue="V6WrGh+BIxas+Hx4Pn88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ARENAS DE SAN PEDRO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2.3333333333333335</v>
      </c>
      <c r="D10" s="499">
        <f>IF(ISNUMBER('Resol  Asuntos'!D10/NºAsuntos!G10),'Resol  Asuntos'!D10/NºAsuntos!G10," - ")</f>
        <v>0.66666666666666663</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1.2549019607843137</v>
      </c>
      <c r="C12" s="498">
        <f>IF(ISNUMBER(NºAsuntos!I12/NºAsuntos!G12),NºAsuntos!I12/NºAsuntos!G12," - ")</f>
        <v>1.1812499999999999</v>
      </c>
      <c r="D12" s="499">
        <f>IF(ISNUMBER('Resol  Asuntos'!D12/NºAsuntos!G12),'Resol  Asuntos'!D12/NºAsuntos!G12," - ")</f>
        <v>0.29062500000000002</v>
      </c>
      <c r="E12" s="500">
        <f>IF(ISNUMBER((NºAsuntos!C12+NºAsuntos!E12)/NºAsuntos!G12),(NºAsuntos!C12+NºAsuntos!E12)/NºAsuntos!G12," - ")</f>
        <v>2.1812499999999999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1.26171875</v>
      </c>
      <c r="C14" s="1156">
        <f>IF(ISNUMBER(NºAsuntos!I14/NºAsuntos!G14),NºAsuntos!I14/NºAsuntos!G14," - ")</f>
        <v>1.1919504643962848</v>
      </c>
      <c r="D14" s="1157">
        <f>IF(ISNUMBER('Resol  Asuntos'!D14/NºAsuntos!G14),'Resol  Asuntos'!D14/NºAsuntos!G14," - ")</f>
        <v>0.29411764705882354</v>
      </c>
      <c r="E14" s="1158">
        <f>IF(ISNUMBER((NºAsuntos!C14+NºAsuntos!E14)/NºAsuntos!G14),(NºAsuntos!C14+NºAsuntos!E14)/NºAsuntos!G14," - ")</f>
        <v>2.1919504643962848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1.1357466063348416</v>
      </c>
      <c r="C17" s="498">
        <f>IF(ISNUMBER(NºAsuntos!I17/NºAsuntos!G17),NºAsuntos!I17/NºAsuntos!G17," - ")</f>
        <v>1.4701195219123506</v>
      </c>
      <c r="D17" s="499">
        <f>IF(ISNUMBER('Resol  Asuntos'!D17/NºAsuntos!G17),'Resol  Asuntos'!D17/NºAsuntos!G17," - ")</f>
        <v>0.17928286852589642</v>
      </c>
      <c r="E17" s="500">
        <f>IF(ISNUMBER((NºAsuntos!C17+NºAsuntos!E17)/NºAsuntos!G17),(NºAsuntos!C17+NºAsuntos!E17)/NºAsuntos!G17," - ")</f>
        <v>2.4701195219123506</v>
      </c>
      <c r="G17" s="523"/>
    </row>
    <row r="18" spans="1:7">
      <c r="A18" s="450" t="str">
        <f>Datos!A18</f>
        <v>Jdos. Violencia contra la mujer</v>
      </c>
      <c r="B18" s="497">
        <f>IF(ISNUMBER(NºAsuntos!G18/NºAsuntos!E18),NºAsuntos!G18/NºAsuntos!E18," - ")</f>
        <v>0.80952380952380953</v>
      </c>
      <c r="C18" s="498">
        <f>IF(ISNUMBER(NºAsuntos!I18/NºAsuntos!G18),NºAsuntos!I18/NºAsuntos!G18," - ")</f>
        <v>3.2941176470588234</v>
      </c>
      <c r="D18" s="499">
        <f>IF(ISNUMBER('Resol  Asuntos'!D18/NºAsuntos!G18),'Resol  Asuntos'!D18/NºAsuntos!G18," - ")</f>
        <v>0</v>
      </c>
      <c r="E18" s="500">
        <f>IF(ISNUMBER((NºAsuntos!C18+NºAsuntos!E18)/NºAsuntos!G18),(NºAsuntos!C18+NºAsuntos!E18)/NºAsuntos!G18," - ")</f>
        <v>4.2941176470588234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1.1074380165289257</v>
      </c>
      <c r="C23" s="1156">
        <f>IF(ISNUMBER(NºAsuntos!I23/NºAsuntos!G23),NºAsuntos!I23/NºAsuntos!G23," - ")</f>
        <v>1.585820895522388</v>
      </c>
      <c r="D23" s="1159">
        <f>IF(ISNUMBER('Resol  Asuntos'!D23/NºAsuntos!G23),'Resol  Asuntos'!D23/NºAsuntos!G23," - ")</f>
        <v>0.16791044776119404</v>
      </c>
      <c r="E23" s="1158">
        <f>IF(ISNUMBER((NºAsuntos!C23+NºAsuntos!E23)/NºAsuntos!G23),(NºAsuntos!C23+NºAsuntos!E23)/NºAsuntos!G23," - ")</f>
        <v>2.5858208955223883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1.1867469879518073</v>
      </c>
      <c r="C31" s="1099">
        <f>IF(ISNUMBER(NºAsuntos!I31/NºAsuntos!G31),NºAsuntos!I31/NºAsuntos!G31," - ")</f>
        <v>1.3705583756345177</v>
      </c>
      <c r="D31" s="1100">
        <f>IF(ISNUMBER('Resol  Asuntos'!D31/NºAsuntos!G31),'Resol  Asuntos'!D31/NºAsuntos!G31," - ")</f>
        <v>0.23688663282571912</v>
      </c>
      <c r="E31" s="1101">
        <f>IF(ISNUMBER((NºAsuntos!C31+NºAsuntos!E31)/NºAsuntos!G31),(NºAsuntos!C31+NºAsuntos!E31)/NºAsuntos!G31," - ")</f>
        <v>2.3705583756345177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wrcNAEier4rbqRamVA4BTE11jnVqVdsrIfABP7ydGIxurzOYJARLC78s3AGNWf+CNTW3gXsOGWmDy3X20DA==" saltValue="yOLuhrpBfosYedgShPGs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ARENAS DE SAN PEDRO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7.0000000000000009</v>
      </c>
      <c r="AN10" s="267">
        <f>IF(ISNUMBER('Resol  Asuntos'!D10/NºAsuntos!G10),'Resol  Asuntos'!D10/NºAsuntos!G10," - ")</f>
        <v>0.66666666666666663</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v>
      </c>
      <c r="Y12" s="374">
        <f t="shared" si="0"/>
        <v>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1.2549019607843137</v>
      </c>
      <c r="AM12" s="284">
        <f>IF(ISNUMBER(((NºAsuntos!I12/NºAsuntos!G12)*11)/factor_trimestre),((NºAsuntos!I12/NºAsuntos!G12)*11)/factor_trimestre," - ")</f>
        <v>3.5437499999999997</v>
      </c>
      <c r="AN12" s="267">
        <f>IF(ISNUMBER('Resol  Asuntos'!D12/NºAsuntos!G12),'Resol  Asuntos'!D12/NºAsuntos!G12," - ")</f>
        <v>0.29062500000000002</v>
      </c>
      <c r="AO12" s="268">
        <f>IF(ISNUMBER((NºAsuntos!C12+NºAsuntos!E12)/NºAsuntos!G12),(NºAsuntos!C12+NºAsuntos!E12)/NºAsuntos!G12," - ")</f>
        <v>2.1812499999999999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59</v>
      </c>
      <c r="Y14" s="1165">
        <f t="shared" si="6"/>
        <v>62</v>
      </c>
      <c r="Z14" s="1165">
        <f t="shared" si="6"/>
        <v>0</v>
      </c>
      <c r="AA14" s="1165">
        <f t="shared" si="6"/>
        <v>7</v>
      </c>
      <c r="AB14" s="1165">
        <f t="shared" si="6"/>
        <v>1084</v>
      </c>
      <c r="AC14" s="1165">
        <f t="shared" si="6"/>
        <v>7</v>
      </c>
      <c r="AD14" s="1165">
        <f t="shared" si="6"/>
        <v>0</v>
      </c>
      <c r="AE14" s="1169">
        <f t="shared" si="6"/>
        <v>0</v>
      </c>
      <c r="AF14" s="1162">
        <f t="shared" si="6"/>
        <v>0</v>
      </c>
      <c r="AG14" s="1170">
        <f t="shared" si="6"/>
        <v>0</v>
      </c>
      <c r="AH14" s="1167">
        <f t="shared" si="6"/>
        <v>0</v>
      </c>
      <c r="AI14" s="1162">
        <f t="shared" si="6"/>
        <v>95</v>
      </c>
      <c r="AJ14" s="1164">
        <f t="shared" si="6"/>
        <v>0</v>
      </c>
      <c r="AK14" s="1167">
        <f>SUBTOTAL(9,AK9:AK13)</f>
        <v>0</v>
      </c>
      <c r="AL14" s="1171">
        <f>IF(ISNUMBER(NºAsuntos!G14/NºAsuntos!E14),NºAsuntos!G14/NºAsuntos!E14," - ")</f>
        <v>1.26171875</v>
      </c>
      <c r="AM14" s="1171">
        <f>IF(ISNUMBER(((NºAsuntos!I14/NºAsuntos!G14)*11)/factor_trimestre),((NºAsuntos!I14/NºAsuntos!G14)*11)/factor_trimestre," - ")</f>
        <v>3.5758513931888545</v>
      </c>
      <c r="AN14" s="1172">
        <f>IF(ISNUMBER('Resol  Asuntos'!D14/NºAsuntos!G14),'Resol  Asuntos'!D14/NºAsuntos!G14," - ")</f>
        <v>0.29411764705882354</v>
      </c>
      <c r="AO14" s="1173">
        <f>IF(ISNUMBER((NºAsuntos!C14+NºAsuntos!E14)/NºAsuntos!G14),(NºAsuntos!C14+NºAsuntos!E14)/NºAsuntos!G14," - ")</f>
        <v>2.1919504643962848</v>
      </c>
      <c r="AP14" s="1174" t="str">
        <f t="shared" si="2"/>
        <v xml:space="preserve"> - </v>
      </c>
      <c r="AQ14" s="1174">
        <f>IF(ISNUMBER((H14-W14+K14)/(F14)),(H14-W14+K14)/(F14)," - ")</f>
        <v>-0.33333333333333331</v>
      </c>
      <c r="AR14" s="1175">
        <f>IF(ISNUMBER((Datos!P14-Datos!Q14)/(Datos!R14-Datos!P14+Datos!Q14)),(Datos!P14-Datos!Q14)/(Datos!R14-Datos!P14+Datos!Q14)," - ")</f>
        <v>5.5658627087198514E-3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399</v>
      </c>
      <c r="G17" s="373">
        <f>IF(ISNUMBER(IF(D_I="SI",Datos!I17,Datos!I17+Datos!AC17)),IF(D_I="SI",Datos!I17,Datos!I17+Datos!AC17)," - ")</f>
        <v>399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251</v>
      </c>
      <c r="X17" s="240">
        <f>IF(ISNUMBER(Datos!Q17),Datos!Q17," - ")</f>
        <v>13</v>
      </c>
      <c r="Y17" s="374">
        <f t="shared" ref="Y17:Y22" si="9">SUM(W17:X17)</f>
        <v>264</v>
      </c>
      <c r="Z17" s="375" t="str">
        <f>IF(ISNUMBER(Datos!CC17),Datos!CC17," - ")</f>
        <v xml:space="preserve"> - </v>
      </c>
      <c r="AA17" s="372">
        <f>IF(ISNUMBER(IF(D_I="SI",Datos!L17,Datos!L17+Datos!AF17)),IF(D_I="SI",Datos!L17,Datos!L17+Datos!AF17)," - ")</f>
        <v>369</v>
      </c>
      <c r="AB17" s="374">
        <f>IF(ISNUMBER(Datos!R17),Datos!R17," - ")</f>
        <v>39</v>
      </c>
      <c r="AC17" s="374">
        <f t="shared" si="8"/>
        <v>408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1.1357466063348416</v>
      </c>
      <c r="AM17" s="284">
        <f>IF(ISNUMBER(((NºAsuntos!I17/NºAsuntos!G17)*11)/factor_trimestre),((NºAsuntos!I17/NºAsuntos!G17)*11)/factor_trimestre," - ")</f>
        <v>4.4103585657370523</v>
      </c>
      <c r="AN17" s="267">
        <f>IF(ISNUMBER('Resol  Asuntos'!D17/NºAsuntos!G17),'Resol  Asuntos'!D17/NºAsuntos!G17," - ")</f>
        <v>0.17928286852589642</v>
      </c>
      <c r="AO17" s="268">
        <f>IF(ISNUMBER((NºAsuntos!C17+NºAsuntos!E17)/NºAsuntos!G17),(NºAsuntos!C17+NºAsuntos!E17)/NºAsuntos!G17," - ")</f>
        <v>2.4701195219123506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56</v>
      </c>
      <c r="AB18" s="374">
        <f>IF(ISNUMBER(Datos!R18),Datos!R18," - ")</f>
        <v>0</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0.80952380952380953</v>
      </c>
      <c r="AM18" s="284">
        <f>IF(ISNUMBER(((NºAsuntos!I18/NºAsuntos!G18)*11)/factor_trimestre),((NºAsuntos!I18/NºAsuntos!G18)*11)/factor_trimestre," - ")</f>
        <v>9.882352941176471</v>
      </c>
      <c r="AN18" s="267">
        <f>IF(ISNUMBER('Resol  Asuntos'!D18/NºAsuntos!G18),'Resol  Asuntos'!D18/NºAsuntos!G18," - ")</f>
        <v>0</v>
      </c>
      <c r="AO18" s="268">
        <f>IF(ISNUMBER((NºAsuntos!C18+NºAsuntos!E18)/NºAsuntos!G18),(NºAsuntos!C18+NºAsuntos!E18)/NºAsuntos!G18," - ")</f>
        <v>4.2941176470588234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399</v>
      </c>
      <c r="G23" s="1163">
        <f>SUBTOTAL(9,G16:G22)</f>
        <v>451</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268</v>
      </c>
      <c r="X23" s="1164">
        <f t="shared" si="14"/>
        <v>13</v>
      </c>
      <c r="Y23" s="1165">
        <f t="shared" si="14"/>
        <v>281</v>
      </c>
      <c r="Z23" s="1165">
        <f t="shared" si="14"/>
        <v>0</v>
      </c>
      <c r="AA23" s="1165">
        <f t="shared" si="14"/>
        <v>425</v>
      </c>
      <c r="AB23" s="1165">
        <f t="shared" si="14"/>
        <v>39</v>
      </c>
      <c r="AC23" s="1165">
        <f t="shared" si="14"/>
        <v>464</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1.1074380165289257</v>
      </c>
      <c r="AM23" s="1171">
        <f>IF(ISNUMBER(((NºAsuntos!I23/NºAsuntos!G23)*11)/factor_trimestre),((NºAsuntos!I23/NºAsuntos!G23)*11)/factor_trimestre," - ")</f>
        <v>4.7574626865671643</v>
      </c>
      <c r="AN23" s="1172">
        <f>IF(ISNUMBER('Resol  Asuntos'!D23/NºAsuntos!G23),'Resol  Asuntos'!D23/NºAsuntos!G23," - ")</f>
        <v>0.16791044776119404</v>
      </c>
      <c r="AO23" s="1173">
        <f>IF(ISNUMBER((NºAsuntos!C23+NºAsuntos!E23)/NºAsuntos!G23),(NºAsuntos!C23+NºAsuntos!E23)/NºAsuntos!G23," - ")</f>
        <v>2.5858208955223883</v>
      </c>
      <c r="AP23" s="1174" t="str">
        <f t="shared" si="2"/>
        <v xml:space="preserve"> - </v>
      </c>
      <c r="AQ23" s="1174">
        <f>IF(ISNUMBER((H23-W23+K23)/(F23)),(H23-W23+K23)/(F23)," - ")</f>
        <v>-0.67167919799498743</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408</v>
      </c>
      <c r="G31" s="1118">
        <f t="shared" si="20"/>
        <v>460</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271</v>
      </c>
      <c r="X31" s="1118">
        <f t="shared" si="21"/>
        <v>72</v>
      </c>
      <c r="Y31" s="1125">
        <f t="shared" si="21"/>
        <v>343</v>
      </c>
      <c r="Z31" s="1125">
        <f t="shared" si="21"/>
        <v>0</v>
      </c>
      <c r="AA31" s="1125">
        <f t="shared" si="21"/>
        <v>432</v>
      </c>
      <c r="AB31" s="1125">
        <f t="shared" si="21"/>
        <v>1123</v>
      </c>
      <c r="AC31" s="1125">
        <f t="shared" si="21"/>
        <v>471</v>
      </c>
      <c r="AD31" s="1125">
        <f t="shared" si="21"/>
        <v>0</v>
      </c>
      <c r="AE31" s="1127">
        <f t="shared" si="21"/>
        <v>0</v>
      </c>
      <c r="AF31" s="1128">
        <f t="shared" si="21"/>
        <v>0</v>
      </c>
      <c r="AG31" s="1129">
        <f t="shared" si="21"/>
        <v>0</v>
      </c>
      <c r="AH31" s="1127">
        <f t="shared" si="21"/>
        <v>0</v>
      </c>
      <c r="AI31" s="1117">
        <f t="shared" si="21"/>
        <v>140</v>
      </c>
      <c r="AJ31" s="1117">
        <f t="shared" si="21"/>
        <v>0</v>
      </c>
      <c r="AK31" s="1127">
        <f t="shared" si="21"/>
        <v>0</v>
      </c>
      <c r="AL31" s="1183">
        <f>IF(ISNUMBER(NºAsuntos!G31/NºAsuntos!E31),NºAsuntos!G31/NºAsuntos!E31," - ")</f>
        <v>1.1867469879518073</v>
      </c>
      <c r="AM31" s="1184">
        <f>IF(ISNUMBER(((NºAsuntos!I31/NºAsuntos!G31)*11)/factor_trimestre),((NºAsuntos!I31/NºAsuntos!G31)*11)/factor_trimestre," - ")</f>
        <v>4.1116751269035534</v>
      </c>
      <c r="AN31" s="1184">
        <f>IF(ISNUMBER('Resol  Asuntos'!D31/NºAsuntos!G31),'Resol  Asuntos'!D31/NºAsuntos!G31," - ")</f>
        <v>0.23688663282571912</v>
      </c>
      <c r="AO31" s="1185">
        <f>IF(ISNUMBER((NºAsuntos!C31+NºAsuntos!E31)/NºAsuntos!G31),(NºAsuntos!C31+NºAsuntos!E31)/NºAsuntos!G31," - ")</f>
        <v>2.3705583756345177</v>
      </c>
      <c r="AP31" s="1186" t="str">
        <f t="shared" si="2"/>
        <v xml:space="preserve"> - </v>
      </c>
      <c r="AQ31" s="1187">
        <f>IF(OR(ISNUMBER(FIND("01",Criterios!A8,1)),ISNUMBER(FIND("02",Criterios!A8,1)),ISNUMBER(FIND("03",Criterios!A8,1)),ISNUMBER(FIND("04",Criterios!A8,1))),(I31-W31+K31)/(F31-K31),(H31-W31+K31)/(F31-K31))</f>
        <v>-0.66421568627450978</v>
      </c>
      <c r="AR31" s="1188">
        <f>IF(ISNUMBER((Datos!P31-Datos!Q31)/(Datos!R31-Datos!P31+Datos!Q31)),(Datos!P31-Datos!Q31)/(Datos!R31-Datos!P31+Datos!Q31)," - ")</f>
        <v>-2.6642984014209592E-3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203.75868079667183</v>
      </c>
      <c r="G33" s="277">
        <f>IF(ISNUMBER(STDEV(G8:G30)),STDEV(G8:G30),"-")</f>
        <v>201.88846520034863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124.6098673766209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41.279534881100588</v>
      </c>
      <c r="AJ33" s="276">
        <f t="shared" si="25"/>
        <v>0</v>
      </c>
      <c r="AK33" s="278">
        <f t="shared" si="25"/>
        <v>0</v>
      </c>
      <c r="AL33" s="273">
        <f t="shared" si="25"/>
        <v>0.78733486146449838</v>
      </c>
      <c r="AM33" s="274">
        <f t="shared" si="25"/>
        <v>2.4786349220257975</v>
      </c>
      <c r="AN33" s="274">
        <f t="shared" si="25"/>
        <v>0.22352944445027589</v>
      </c>
      <c r="AO33" s="275">
        <f t="shared" si="25"/>
        <v>0.82621164067526665</v>
      </c>
      <c r="AP33" s="317" t="str">
        <f t="shared" si="25"/>
        <v>-</v>
      </c>
      <c r="AQ33" s="318">
        <f t="shared" si="25"/>
        <v>0.23924665528868155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UxgqYT8Rv1cZne4cypEYlPstHrFxvNvd5VVb3rUl+xlW+8ZogikFl1gXxefJQ8VKfmPrf+K+BmEyWUfM0bZQ==" saltValue="TDwSFY/oUTCO64guZkzj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ARENAS DE SAN PEDRO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3.5</v>
      </c>
      <c r="E10" s="393">
        <f>IF(ISNUMBER((Datos!J10-Datos!T10)/Datos!T10),(Datos!J10-Datos!T10)/Datos!T10," - ")</f>
        <v>-0.8</v>
      </c>
      <c r="F10" s="393">
        <f>IF(ISNUMBER((Datos!K10-Datos!U10)/Datos!U10),(Datos!K10-Datos!U10)/Datos!U10," - ")</f>
        <v>2</v>
      </c>
      <c r="G10" s="394">
        <f>IF(ISNUMBER((Datos!L10-Datos!V10)/Datos!V10),(Datos!L10-Datos!V10)/Datos!V10," - ")</f>
        <v>0.16666666666666666</v>
      </c>
      <c r="H10" s="244">
        <f>IF(ISNUMBER((Datos!M10-Datos!W10)/Datos!W10),(Datos!M10-Datos!W10)/Datos!W10," - ")</f>
        <v>1</v>
      </c>
      <c r="I10" s="395">
        <f>IF(ISNUMBER((Tasas!C10-Datos!BE10)/Datos!BE10),(Tasas!C10-Datos!BE10)/Datos!BE10," - ")</f>
        <v>-0.61111111111111105</v>
      </c>
      <c r="J10" s="394">
        <f>IF(ISNUMBER((Tasas!D10-Datos!BF10)/Datos!BF10),(Tasas!D10-Datos!BF10)/Datos!BF10," - ")</f>
        <v>-0.33333333333333337</v>
      </c>
      <c r="K10" s="396">
        <f>IF(ISNUMBER((Tasas!E10-Datos!BG10)/Datos!BG10),(Tasas!E10-Datos!BG10)/Datos!BG10," - ")</f>
        <v>-0.52380952380952384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0.10714285714285714</v>
      </c>
      <c r="I12" s="395">
        <f>IF(ISNUMBER((Tasas!C12-Datos!BE12)/Datos!BE12),(Tasas!C12-Datos!BE12)/Datos!BE12," - ")</f>
        <v>-0.10713028169014087</v>
      </c>
      <c r="J12" s="394">
        <f>IF(ISNUMBER((Tasas!D12-Datos!BF12)/Datos!BF12),(Tasas!D12-Datos!BF12)/Datos!BF12," - ")</f>
        <v>-0.16445312499999992</v>
      </c>
      <c r="K12" s="396">
        <f>IF(ISNUMBER((Tasas!E12-Datos!BG12)/Datos!BG12),(Tasas!E12-Datos!BG12)/Datos!BG12," - ")</f>
        <v>-6.1012700534759462E-2</v>
      </c>
      <c r="M12" t="e">
        <f>IF(Monitorios="SI",Datos!CE12,0)</f>
        <v>#REF!</v>
      </c>
      <c r="N12" t="e">
        <f>IF(Monitorios="SI",Datos!CF12,0)</f>
        <v>#REF!</v>
      </c>
      <c r="O12" t="e">
        <f>IF(Monitorios="SI",Datos!CG12,0)</f>
        <v>#REF!</v>
      </c>
      <c r="P12" t="e">
        <f>IF(Monitorios="SI",Datos!CH12,0)</f>
        <v>#REF!</v>
      </c>
      <c r="Q12">
        <f>IF(J_V="SI",0,Datos!AG12)</f>
        <v>19</v>
      </c>
      <c r="R12">
        <f>IF(J_V="SI",0,Datos!AH12)</f>
        <v>13</v>
      </c>
      <c r="S12">
        <f>IF(J_V="SI",0,Datos!AI12)</f>
        <v>22</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0.11764705882352941</v>
      </c>
      <c r="I14" s="402">
        <f>IF(ISNUMBER((Tasas!C14-Datos!BE14)/Datos!BE14),(Tasas!C14-Datos!BE14)/Datos!BE14," - ")</f>
        <v>-0.10879629629629624</v>
      </c>
      <c r="J14" s="400">
        <f>IF(ISNUMBER((Tasas!D14-Datos!BF14)/Datos!BF14),(Tasas!D14-Datos!BF14)/Datos!BF14," - ")</f>
        <v>-0.15929203539823003</v>
      </c>
      <c r="K14" s="403">
        <f>IF(ISNUMBER((Tasas!E14-Datos!BG14)/Datos!BG14),(Tasas!E14-Datos!BG14)/Datos!BG14," - ")</f>
        <v>-6.2251655629139035E-2</v>
      </c>
      <c r="M14" t="e">
        <f>IF(Monitorios="SI",Datos!CE14,0)</f>
        <v>#REF!</v>
      </c>
      <c r="N14" t="e">
        <f>IF(Monitorios="SI",Datos!CF14,0)</f>
        <v>#REF!</v>
      </c>
      <c r="O14" t="e">
        <f>IF(Monitorios="SI",Datos!CG14,0)</f>
        <v>#REF!</v>
      </c>
      <c r="P14" t="e">
        <f>IF(Monitorios="SI",Datos!CH14,0)</f>
        <v>#REF!</v>
      </c>
      <c r="Q14">
        <f>IF(J_V="SI",0,Datos!AG14)</f>
        <v>19</v>
      </c>
      <c r="R14">
        <f>IF(J_V="SI",0,Datos!AH14)</f>
        <v>13</v>
      </c>
      <c r="S14">
        <f>IF(J_V="SI",0,Datos!AI14)</f>
        <v>22</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-0.10738255033557047</v>
      </c>
      <c r="E17" s="393">
        <f>IF(ISNUMBER(
   IF(D_I="SI",(Datos!J17-Datos!T17)/Datos!T17,(Datos!J17+Datos!AD17-(Datos!T17+Datos!AL17))/(Datos!T17+Datos!AL17))
     ),IF(D_I="SI",(Datos!J17-Datos!T17)/Datos!T17,(Datos!J17+Datos!AD17-(Datos!T17+Datos!AL17))/(Datos!T17+Datos!AL17))," - ")</f>
        <v>-0.30503144654088049</v>
      </c>
      <c r="F17" s="393">
        <f>IF(ISNUMBER(
   IF(D_I="SI",(Datos!K17-Datos!U17)/Datos!U17,(Datos!K17+Datos!AE17-(Datos!U17+Datos!AM17))/(Datos!U17+Datos!AM17))
     ),IF(D_I="SI",(Datos!K17-Datos!U17)/Datos!U17,(Datos!K17+Datos!AE17-(Datos!U17+Datos!AM17))/(Datos!U17+Datos!AM17))," - ")</f>
        <v>-0.17161716171617161</v>
      </c>
      <c r="G17" s="394">
        <f>IF(ISNUMBER(
   IF(D_I="SI",(Datos!L17-Datos!V17)/Datos!V17,(Datos!L17+Datos!AF17-(Datos!V17+Datos!AN17))/(Datos!V17+Datos!AN17))
     ),IF(D_I="SI",(Datos!L17-Datos!V17)/Datos!V17,(Datos!L17+Datos!AF17-(Datos!V17+Datos!AN17))/(Datos!V17+Datos!AN17))," - ")</f>
        <v>-0.20129870129870131</v>
      </c>
      <c r="H17" s="244">
        <f>IF(ISNUMBER((Datos!M17-Datos!W17)/Datos!W17),(Datos!M17-Datos!W17)/Datos!W17," - ")</f>
        <v>0.2857142857142857</v>
      </c>
      <c r="I17" s="395">
        <f>IF(ISNUMBER((Tasas!C17-Datos!BE17)/Datos!BE17),(Tasas!C17-Datos!BE17)/Datos!BE17," - ")</f>
        <v>-3.5830703161380449E-2</v>
      </c>
      <c r="J17" s="394">
        <f>IF(ISNUMBER((Tasas!D17-Datos!BF17)/Datos!BF17),(Tasas!D17-Datos!BF17)/Datos!BF17," - ")</f>
        <v>0.55207740466704625</v>
      </c>
      <c r="K17" s="396">
        <f>IF(ISNUMBER((Tasas!E17-Datos!BG17)/Datos!BG17),(Tasas!E17-Datos!BG17)/Datos!BG17," - ")</f>
        <v>-2.1638934458245447E-2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0.20930232558139536</v>
      </c>
      <c r="E18" s="393">
        <f>IF(ISNUMBER(
   IF(D_I="SI",(Datos!J18-Datos!T18)/Datos!T18,(Datos!J18+Datos!AD18-(Datos!T18+Datos!AL18))/(Datos!T18+Datos!AL18))
     ),IF(D_I="SI",(Datos!J18-Datos!T18)/Datos!T18,(Datos!J18+Datos!AD18-(Datos!T18+Datos!AL18))/(Datos!T18+Datos!AL18))," - ")</f>
        <v>-8.6956521739130432E-2</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9.8039215686274508E-2</v>
      </c>
      <c r="H18" s="244" t="str">
        <f>IF(ISNUMBER((Datos!M18-Datos!W18)/Datos!W18),(Datos!M18-Datos!W18)/Datos!W18," - ")</f>
        <v xml:space="preserve"> - </v>
      </c>
      <c r="I18" s="395">
        <f>IF(ISNUMBER((Tasas!C18-Datos!BE18)/Datos!BE18),(Tasas!C18-Datos!BE18)/Datos!BE18," - ")</f>
        <v>-3.1141868512110746E-2</v>
      </c>
      <c r="J18" s="394" t="str">
        <f>IF(ISNUMBER((Tasas!D18-Datos!BF18)/Datos!BF18),(Tasas!D18-Datos!BF18)/Datos!BF18," - ")</f>
        <v xml:space="preserve"> - </v>
      </c>
      <c r="K18" s="396">
        <f>IF(ISNUMBER((Tasas!E18-Datos!BG18)/Datos!BG18),(Tasas!E18-Datos!BG18)/Datos!BG18," - ")</f>
        <v>-2.4064171122994766E-2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-7.9591836734693874E-2</v>
      </c>
      <c r="E23" s="399">
        <f>IF(ISNUMBER(
   IF(D_I="SI",(Datos!J23-Datos!T23)/Datos!T23,(Datos!J23+Datos!AD23-(Datos!T23+Datos!AL23))/(Datos!T23+Datos!AL23))
     ),IF(D_I="SI",(Datos!J23-Datos!T23)/Datos!T23,(Datos!J23+Datos!AD23-(Datos!T23+Datos!AL23))/(Datos!T23+Datos!AL23))," - ")</f>
        <v>-0.29032258064516131</v>
      </c>
      <c r="F23" s="399">
        <f>IF(ISNUMBER(
   IF(D_I="SI",(Datos!K23-Datos!U23)/Datos!U23,(Datos!K23+Datos!AE23-(Datos!U23+Datos!AM23))/(Datos!U23+Datos!AM23))
     ),IF(D_I="SI",(Datos!K23-Datos!U23)/Datos!U23,(Datos!K23+Datos!AE23-(Datos!U23+Datos!AM23))/(Datos!U23+Datos!AM23))," - ")</f>
        <v>-0.15723270440251572</v>
      </c>
      <c r="G23" s="400">
        <f>IF(ISNUMBER(
   IF(D_I="SI",(Datos!L23-Datos!V23)/Datos!V23,(Datos!L23+Datos!AF23-(Datos!V23+Datos!AN23))/(Datos!V23+Datos!AN23))
     ),IF(D_I="SI",(Datos!L23-Datos!V23)/Datos!V23,(Datos!L23+Datos!AF23-(Datos!V23+Datos!AN23))/(Datos!V23+Datos!AN23))," - ")</f>
        <v>-0.17153996101364521</v>
      </c>
      <c r="H23" s="401">
        <f>IF(ISNUMBER((Datos!M23-Datos!W23)/Datos!W23),(Datos!M23-Datos!W23)/Datos!W23," - ")</f>
        <v>0.2857142857142857</v>
      </c>
      <c r="I23" s="402">
        <f>IF(ISNUMBER((Tasas!C23-Datos!BE23)/Datos!BE23),(Tasas!C23-Datos!BE23)/Datos!BE23," - ")</f>
        <v>-1.697652090425068E-2</v>
      </c>
      <c r="J23" s="400">
        <f>IF(ISNUMBER((Tasas!D23-Datos!BF23)/Datos!BF23),(Tasas!D23-Datos!BF23)/Datos!BF23," - ")</f>
        <v>0.52558635394456299</v>
      </c>
      <c r="K23" s="403">
        <f>IF(ISNUMBER((Tasas!E23-Datos!BG23)/Datos!BG23),(Tasas!E23-Datos!BG23)/Datos!BG23," - ")</f>
        <v>-1.0480090522118566E-2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-6.2305295950155763E-2</v>
      </c>
      <c r="E31" s="409">
        <f>IF(ISNUMBER(
   IF(J_V="SI",(Datos!J31-Datos!T31)/Datos!T31,(Datos!J31+Datos!Z31-(Datos!T31+Datos!AH31))/(Datos!T31+Datos!AH31))
     ),IF(J_V="SI",(Datos!J31-Datos!T31)/Datos!T31,(Datos!J31+Datos!Z31-(Datos!T31+Datos!AH31))/(Datos!T31+Datos!AH31))," - ")</f>
        <v>-0.20064205457463885</v>
      </c>
      <c r="F31" s="409">
        <f>IF(ISNUMBER(
   IF(J_V="SI",(Datos!K31-Datos!U31)/Datos!U31,(Datos!K31+Datos!AA31-(Datos!U31+Datos!AI31))/(Datos!U31+Datos!AI31))
     ),IF(J_V="SI",(Datos!K31-Datos!U31)/Datos!U31,(Datos!K31+Datos!AA31-(Datos!U31+Datos!AI31))/(Datos!U31+Datos!AI31))," - ")</f>
        <v>-7.8003120124804995E-2</v>
      </c>
      <c r="G31" s="410">
        <f>IF(ISNUMBER(
   IF(J_V="SI",(Datos!L31-Datos!V31)/Datos!V31,(Datos!L31+Datos!AB31-(Datos!V31+Datos!AJ31))/(Datos!V31+Datos!AJ31))
     ),IF(J_V="SI",(Datos!L31-Datos!V31)/Datos!V31,(Datos!L31+Datos!AB31-(Datos!V31+Datos!AJ31))/(Datos!V31+Datos!AJ31))," - ")</f>
        <v>-0.14285714285714285</v>
      </c>
      <c r="H31" s="411">
        <f>IF(ISNUMBER((Datos!M31-Datos!W31)/Datos!W31),(Datos!M31-Datos!W31)/Datos!W31," - ")</f>
        <v>0.16666666666666666</v>
      </c>
      <c r="I31" s="408">
        <f>IF(ISNUMBER((Tasas!C31-Datos!BE31)/Datos!BE31),(Tasas!C31-Datos!BE31)/Datos!BE31," - ")</f>
        <v>-7.034082668600436E-2</v>
      </c>
      <c r="J31" s="409">
        <f>IF(ISNUMBER((Tasas!D31-Datos!BF31)/Datos!BF31),(Tasas!D31-Datos!BF31)/Datos!BF31," - ")</f>
        <v>2.597521379247263E-2</v>
      </c>
      <c r="K31" s="410">
        <f>IF(ISNUMBER((Tasas!E31-Datos!BG31)/Datos!BG31),(Tasas!E31-Datos!BG31)/Datos!BG31," - ")</f>
        <v>-4.1911778826150228E-2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1.7521391506271351</v>
      </c>
      <c r="E33" s="303">
        <f t="shared" si="1"/>
        <v>0.30308507057730222</v>
      </c>
      <c r="F33" s="303">
        <f t="shared" si="1"/>
        <v>1.0420991964050692</v>
      </c>
      <c r="G33" s="304">
        <f t="shared" si="1"/>
        <v>0.18655956728243397</v>
      </c>
      <c r="H33" s="310">
        <f t="shared" si="1"/>
        <v>0.36854631917749664</v>
      </c>
      <c r="I33" s="302">
        <f t="shared" si="1"/>
        <v>0.22847145391078966</v>
      </c>
      <c r="J33" s="303">
        <f t="shared" si="1"/>
        <v>0.42106471508679189</v>
      </c>
      <c r="K33" s="304">
        <f t="shared" si="1"/>
        <v>0.20035117989520607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ReRuBTDqBhWi2qupZ+VXgsUnZXh9e03D/63CDMLFyrpm67mw3Gv5frGXkvCVmKxqmRTgnWszM7tFS6FOpRXuw==" saltValue="eeAeixmp+bZ034qmIjFm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